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ejpd.intra.admin.ch\Userhome$\BFM-01\U80824718\config\Desktop\Neuer Ordner\"/>
    </mc:Choice>
  </mc:AlternateContent>
  <xr:revisionPtr revIDLastSave="0" documentId="13_ncr:1_{2FBE398D-BCD5-44E2-B8A8-54002F6B2B04}" xr6:coauthVersionLast="47" xr6:coauthVersionMax="47" xr10:uidLastSave="{00000000-0000-0000-0000-000000000000}"/>
  <workbookProtection workbookAlgorithmName="SHA-512" workbookHashValue="H68kLN9kvAj7Q73yCZIypLlRH4EvXqT7c8Npbh+qLeqGeos3Zuews/2sjDDOrpypLFFna2aYpffkuDpAoLkruQ==" workbookSaltValue="jPHkliuok/4QfP4WuRmepA==" workbookSpinCount="100000" lockStructure="1"/>
  <bookViews>
    <workbookView xWindow="28680" yWindow="-120" windowWidth="29040" windowHeight="15720" firstSheet="1" activeTab="1" xr2:uid="{00000000-000D-0000-FFFF-FFFF00000000}"/>
  </bookViews>
  <sheets>
    <sheet name="Dropdownlisten" sheetId="1" state="veryHidden" r:id="rId1"/>
    <sheet name="Indice" sheetId="3" r:id="rId2"/>
    <sheet name="Indicatori PIC" sheetId="4" r:id="rId3"/>
    <sheet name="Sintesi Indicatori AIS" sheetId="5" r:id="rId4"/>
    <sheet name="Ind AIS N°1" sheetId="6" r:id="rId5"/>
    <sheet name="Ind AIS N°2" sheetId="7" r:id="rId6"/>
    <sheet name="Ind AIS N°3" sheetId="8" r:id="rId7"/>
    <sheet name="Ind AIS N°4" sheetId="9" r:id="rId8"/>
    <sheet name="Ind AIS N°5" sheetId="10" r:id="rId9"/>
    <sheet name="Ind AIS N°6" sheetId="11" r:id="rId10"/>
    <sheet name="Ind AIS N°7" sheetId="12" r:id="rId11"/>
    <sheet name="Ind AIS N°8" sheetId="13" r:id="rId12"/>
    <sheet name="Ind AIS N°9" sheetId="14" r:id="rId13"/>
    <sheet name="Ind AIS N°11a" sheetId="16" r:id="rId14"/>
    <sheet name="Ind AIS N°11b" sheetId="17" r:id="rId15"/>
    <sheet name="Ind AIS N°14" sheetId="18" r:id="rId16"/>
    <sheet name="Pop_stat AIS Decisioni 1.5.19" sheetId="19" state="veryHidden" r:id="rId17"/>
    <sheet name="Pop_stat AIS Effettivo" sheetId="20" state="veryHidden" r:id="rId18"/>
  </sheets>
  <definedNames>
    <definedName name="bestand_alle">'Pop_stat AIS Effettivo'!$A$5:$AF$34</definedName>
    <definedName name="bestand_ias">'Pop_stat AIS Decisioni 1.5.19'!$A$5:$AJ$34</definedName>
    <definedName name="Print_Area" localSheetId="4">'Ind AIS N°1'!$A$1:$L$17</definedName>
    <definedName name="Print_Area" localSheetId="13">'Ind AIS N°11a'!$A$1:$N$18</definedName>
    <definedName name="Print_Area" localSheetId="14">'Ind AIS N°11b'!$A$1:$O$18</definedName>
    <definedName name="Print_Area" localSheetId="5">'Ind AIS N°2'!$A$1:$L$22</definedName>
    <definedName name="Print_Area" localSheetId="6">'Ind AIS N°3'!$A$1:$M$19</definedName>
    <definedName name="Print_Area" localSheetId="7">'Ind AIS N°4'!$A$1:$M$17</definedName>
    <definedName name="Print_Area" localSheetId="8">'Ind AIS N°5'!$A$1:$M$19</definedName>
    <definedName name="Print_Area" localSheetId="9">'Ind AIS N°6'!$A$1:$L$17</definedName>
    <definedName name="Print_Area" localSheetId="10">'Ind AIS N°7'!$A$1:$O$18</definedName>
    <definedName name="Print_Area" localSheetId="11">'Ind AIS N°8'!$A$1:$P$19</definedName>
    <definedName name="Print_Area" localSheetId="12">'Ind AIS N°9'!$A$1:$N$19</definedName>
    <definedName name="Print_Area" localSheetId="2">'Indicatori PIC'!$A$1:$L$14</definedName>
    <definedName name="Print_Area" localSheetId="1">Indice!$A$1:$H$32</definedName>
    <definedName name="Print_Area" localSheetId="16">'Pop_stat AIS Decisioni 1.5.19'!$A$1:$AJ$34</definedName>
    <definedName name="Print_Area" localSheetId="17">'Pop_stat AIS Effettivo'!$A$1:$AF$34</definedName>
    <definedName name="Print_Area" localSheetId="3">'Sintesi Indicatori AIS'!$A$1:$P$35</definedName>
    <definedName name="Z_168849A9_FED9_4458_942F_290616B3A25C_.wvu.PrintArea" localSheetId="4" hidden="1">'Ind AIS N°1'!$A$1:$L$17</definedName>
    <definedName name="Z_168849A9_FED9_4458_942F_290616B3A25C_.wvu.PrintArea" localSheetId="13" hidden="1">'Ind AIS N°11a'!$A$1:$N$18</definedName>
    <definedName name="Z_168849A9_FED9_4458_942F_290616B3A25C_.wvu.PrintArea" localSheetId="14" hidden="1">'Ind AIS N°11b'!$A$1:$O$18</definedName>
    <definedName name="Z_168849A9_FED9_4458_942F_290616B3A25C_.wvu.PrintArea" localSheetId="5" hidden="1">'Ind AIS N°2'!$A$1:$L$22</definedName>
    <definedName name="Z_168849A9_FED9_4458_942F_290616B3A25C_.wvu.PrintArea" localSheetId="6" hidden="1">'Ind AIS N°3'!$A$1:$M$19</definedName>
    <definedName name="Z_168849A9_FED9_4458_942F_290616B3A25C_.wvu.PrintArea" localSheetId="7" hidden="1">'Ind AIS N°4'!$A$1:$M$17</definedName>
    <definedName name="Z_168849A9_FED9_4458_942F_290616B3A25C_.wvu.PrintArea" localSheetId="8" hidden="1">'Ind AIS N°5'!$A$1:$M$19</definedName>
    <definedName name="Z_168849A9_FED9_4458_942F_290616B3A25C_.wvu.PrintArea" localSheetId="9" hidden="1">'Ind AIS N°6'!$A$1:$L$17</definedName>
    <definedName name="Z_168849A9_FED9_4458_942F_290616B3A25C_.wvu.PrintArea" localSheetId="10" hidden="1">'Ind AIS N°7'!$A$1:$O$18</definedName>
    <definedName name="Z_168849A9_FED9_4458_942F_290616B3A25C_.wvu.PrintArea" localSheetId="11" hidden="1">'Ind AIS N°8'!$A$1:$P$19</definedName>
    <definedName name="Z_168849A9_FED9_4458_942F_290616B3A25C_.wvu.PrintArea" localSheetId="12" hidden="1">'Ind AIS N°9'!$A$1:$N$19</definedName>
    <definedName name="Z_168849A9_FED9_4458_942F_290616B3A25C_.wvu.PrintArea" localSheetId="2" hidden="1">'Indicatori PIC'!$A$1:$L$14</definedName>
    <definedName name="Z_168849A9_FED9_4458_942F_290616B3A25C_.wvu.PrintArea" localSheetId="1" hidden="1">Indice!$A$1:$H$32</definedName>
    <definedName name="Z_168849A9_FED9_4458_942F_290616B3A25C_.wvu.PrintArea" localSheetId="16" hidden="1">'Pop_stat AIS Decisioni 1.5.19'!$A$1:$AJ$34</definedName>
    <definedName name="Z_168849A9_FED9_4458_942F_290616B3A25C_.wvu.PrintArea" localSheetId="17" hidden="1">'Pop_stat AIS Effettivo'!$A$1:$AF$34</definedName>
    <definedName name="Z_168849A9_FED9_4458_942F_290616B3A25C_.wvu.PrintArea" localSheetId="3" hidden="1">'Sintesi Indicatori AIS'!$A$1:$P$35</definedName>
    <definedName name="Z_168849A9_FED9_4458_942F_290616B3A25C_.wvu.Rows" localSheetId="16" hidden="1">'Pop_stat AIS Decisioni 1.5.19'!$36:$36</definedName>
    <definedName name="Z_168849A9_FED9_4458_942F_290616B3A25C_.wvu.Rows" localSheetId="17" hidden="1">'Pop_stat AIS Effettivo'!$36:$36</definedName>
  </definedNames>
  <calcPr calcId="191029"/>
  <customWorkbookViews>
    <customWorkbookView name="Corina Bürgi - Persönliche Ansicht" guid="{168849A9-FED9-4458-942F-290616B3A25C}" mergeInterval="0" personalView="1" maximized="1" xWindow="2869" yWindow="-9" windowWidth="2902" windowHeight="1582"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5" l="1"/>
  <c r="O27" i="5" l="1" a="1"/>
  <c r="O27" i="5" s="1"/>
  <c r="O24" i="5" a="1"/>
  <c r="O24" i="5" s="1"/>
  <c r="C8" i="6"/>
  <c r="C8" i="18" l="1"/>
  <c r="C8" i="17"/>
  <c r="C8" i="16"/>
  <c r="C8" i="14"/>
  <c r="C8" i="13"/>
  <c r="C8" i="12"/>
  <c r="C8" i="11"/>
  <c r="D9" i="10"/>
  <c r="D8" i="10"/>
  <c r="C8" i="9"/>
  <c r="D8" i="8"/>
  <c r="D9" i="8"/>
  <c r="D10" i="7"/>
  <c r="D11" i="7"/>
  <c r="D9" i="7"/>
  <c r="D8" i="7"/>
  <c r="J34" i="5"/>
  <c r="J31" i="5"/>
  <c r="J30" i="5"/>
  <c r="J27" i="5"/>
  <c r="J23" i="5"/>
  <c r="J17" i="5"/>
  <c r="J16" i="5"/>
  <c r="J15" i="5"/>
  <c r="J14" i="5"/>
  <c r="J13" i="5"/>
  <c r="J12" i="5"/>
  <c r="J11" i="5"/>
  <c r="J10" i="5"/>
  <c r="J9" i="5"/>
  <c r="J8" i="5"/>
  <c r="G10" i="10"/>
  <c r="G10" i="8"/>
  <c r="G12" i="7"/>
  <c r="H8" i="5" l="1"/>
  <c r="I8" i="5"/>
  <c r="K8" i="5"/>
  <c r="L8" i="5"/>
  <c r="M8" i="5"/>
  <c r="H9" i="5"/>
  <c r="I9" i="5"/>
  <c r="K9" i="5"/>
  <c r="L9" i="5"/>
  <c r="M9" i="5"/>
  <c r="H10" i="5"/>
  <c r="I10" i="5"/>
  <c r="K10" i="5"/>
  <c r="L10" i="5"/>
  <c r="M10" i="5"/>
  <c r="H11" i="5"/>
  <c r="I11" i="5"/>
  <c r="K11" i="5"/>
  <c r="L11" i="5"/>
  <c r="M11" i="5"/>
  <c r="H12" i="5"/>
  <c r="I12" i="5"/>
  <c r="K12" i="5"/>
  <c r="L12" i="5"/>
  <c r="M12" i="5"/>
  <c r="H13" i="5"/>
  <c r="I13" i="5"/>
  <c r="K13" i="5"/>
  <c r="L13" i="5"/>
  <c r="M13" i="5"/>
  <c r="H14" i="5"/>
  <c r="I14" i="5"/>
  <c r="K14" i="5"/>
  <c r="L14" i="5"/>
  <c r="M14" i="5"/>
  <c r="H15" i="5"/>
  <c r="I15" i="5"/>
  <c r="K15" i="5"/>
  <c r="L15" i="5"/>
  <c r="M15" i="5"/>
  <c r="H16" i="5"/>
  <c r="I16" i="5"/>
  <c r="K16" i="5"/>
  <c r="L16" i="5"/>
  <c r="M16" i="5"/>
  <c r="H17" i="5"/>
  <c r="I17" i="5"/>
  <c r="K17" i="5"/>
  <c r="L17" i="5"/>
  <c r="M17" i="5"/>
  <c r="H20" i="5"/>
  <c r="I20" i="5"/>
  <c r="K20" i="5"/>
  <c r="L20" i="5"/>
  <c r="M20" i="5"/>
  <c r="H23" i="5"/>
  <c r="I23" i="5"/>
  <c r="K23" i="5"/>
  <c r="L23" i="5"/>
  <c r="M23" i="5"/>
  <c r="H24" i="5"/>
  <c r="I24" i="5"/>
  <c r="K24" i="5"/>
  <c r="L24" i="5"/>
  <c r="M24" i="5"/>
  <c r="H27" i="5"/>
  <c r="I27" i="5"/>
  <c r="K27" i="5"/>
  <c r="L27" i="5"/>
  <c r="M27" i="5"/>
  <c r="H30" i="5"/>
  <c r="I30" i="5"/>
  <c r="K30" i="5"/>
  <c r="L30" i="5"/>
  <c r="M30" i="5"/>
  <c r="H31" i="5"/>
  <c r="I31" i="5"/>
  <c r="K31" i="5"/>
  <c r="L31" i="5"/>
  <c r="M31" i="5"/>
  <c r="H34" i="5"/>
  <c r="I34" i="5"/>
  <c r="K34" i="5"/>
  <c r="L34" i="5"/>
  <c r="M34" i="5"/>
  <c r="G8" i="5" l="1"/>
  <c r="G34" i="5"/>
  <c r="G31" i="5"/>
  <c r="G30" i="5"/>
  <c r="G27" i="5"/>
  <c r="G24" i="5"/>
  <c r="G23" i="5"/>
  <c r="G17" i="5"/>
  <c r="G15" i="5"/>
  <c r="G13" i="5"/>
  <c r="G20" i="5"/>
  <c r="G16" i="5"/>
  <c r="G14" i="5"/>
  <c r="G9" i="5"/>
  <c r="G12" i="5"/>
  <c r="G11" i="5"/>
  <c r="G10" i="5"/>
  <c r="F36" i="19"/>
  <c r="C36" i="19"/>
  <c r="AE36" i="20" l="1"/>
  <c r="AB36" i="20"/>
  <c r="Z36" i="20"/>
  <c r="W36" i="20"/>
  <c r="U36" i="20"/>
  <c r="R36" i="20"/>
  <c r="M36" i="20"/>
  <c r="K36" i="20"/>
  <c r="H36" i="20"/>
  <c r="F36" i="20"/>
  <c r="C36" i="20"/>
  <c r="AI36" i="19"/>
  <c r="AF36" i="19"/>
  <c r="AD36" i="19"/>
  <c r="AA36" i="19"/>
  <c r="Y36" i="19"/>
  <c r="V36" i="19"/>
  <c r="T36" i="19"/>
  <c r="Q36" i="19"/>
  <c r="O36" i="19"/>
  <c r="M36" i="19"/>
  <c r="H36" i="19"/>
  <c r="K36" i="19"/>
  <c r="O34" i="5" l="1"/>
  <c r="N34" i="5"/>
  <c r="O31" i="5"/>
  <c r="N31" i="5"/>
  <c r="O30" i="5"/>
  <c r="N30" i="5"/>
  <c r="O23" i="5"/>
  <c r="N23" i="5"/>
  <c r="P36" i="20" l="1"/>
  <c r="C3" i="18" l="1"/>
  <c r="C3" i="17"/>
  <c r="C3" i="16"/>
  <c r="D9" i="16" s="1"/>
  <c r="C3" i="14"/>
  <c r="C3" i="13"/>
  <c r="C3" i="12"/>
  <c r="C3" i="11"/>
  <c r="C3" i="10"/>
  <c r="C3" i="9"/>
  <c r="C3" i="8"/>
  <c r="C3" i="7"/>
  <c r="C3" i="6"/>
  <c r="F2" i="4"/>
  <c r="E2" i="5" s="1"/>
  <c r="I9" i="6" l="1"/>
  <c r="F9" i="6"/>
  <c r="H9" i="6"/>
  <c r="G13" i="7"/>
  <c r="J13" i="7"/>
  <c r="I13" i="7"/>
  <c r="J11" i="8"/>
  <c r="I11" i="8"/>
  <c r="G11" i="8"/>
  <c r="F9" i="9"/>
  <c r="I9" i="9"/>
  <c r="H9" i="9"/>
  <c r="I10" i="18"/>
  <c r="E9" i="18"/>
  <c r="H10" i="18"/>
  <c r="D9" i="18"/>
  <c r="F10" i="18"/>
  <c r="E10" i="18"/>
  <c r="D10" i="18"/>
  <c r="I9" i="18"/>
  <c r="H9" i="18"/>
  <c r="F9" i="18"/>
  <c r="G11" i="10"/>
  <c r="J11" i="10"/>
  <c r="I11" i="10"/>
  <c r="H11" i="13"/>
  <c r="G11" i="13"/>
  <c r="D11" i="13"/>
  <c r="H10" i="13"/>
  <c r="G10" i="13"/>
  <c r="D10" i="13"/>
  <c r="E11" i="13"/>
  <c r="E10" i="13"/>
  <c r="I10" i="14"/>
  <c r="H10" i="14"/>
  <c r="F10" i="14"/>
  <c r="E11" i="14"/>
  <c r="I11" i="14"/>
  <c r="D11" i="14"/>
  <c r="F11" i="14"/>
  <c r="H11" i="14"/>
  <c r="E10" i="14"/>
  <c r="D10" i="14"/>
  <c r="F10" i="16"/>
  <c r="E10" i="16"/>
  <c r="D10" i="16"/>
  <c r="F9" i="16"/>
  <c r="I10" i="16"/>
  <c r="E9" i="16"/>
  <c r="H10" i="16"/>
  <c r="H9" i="16"/>
  <c r="I9" i="16"/>
  <c r="H9" i="17"/>
  <c r="F9" i="17"/>
  <c r="I10" i="17"/>
  <c r="E9" i="17"/>
  <c r="H10" i="17"/>
  <c r="D9" i="17"/>
  <c r="F10" i="17"/>
  <c r="I9" i="17"/>
  <c r="E10" i="17"/>
  <c r="D10" i="17"/>
  <c r="H9" i="11"/>
  <c r="F9" i="11"/>
  <c r="I9" i="11"/>
  <c r="I9" i="12"/>
  <c r="D9" i="12"/>
  <c r="F9" i="12"/>
  <c r="H9" i="12"/>
  <c r="E9" i="12"/>
  <c r="F10" i="12"/>
  <c r="H10" i="12"/>
  <c r="I10" i="12"/>
  <c r="E10" i="12"/>
  <c r="D10" i="12"/>
  <c r="E9" i="6"/>
  <c r="D9" i="6"/>
  <c r="F11" i="8"/>
  <c r="E11" i="8"/>
  <c r="E9" i="9"/>
  <c r="D9" i="9"/>
  <c r="E9" i="11"/>
  <c r="D9" i="11"/>
  <c r="F13" i="7"/>
  <c r="E13" i="7"/>
  <c r="F11" i="10"/>
  <c r="E11" i="10"/>
  <c r="C10" i="12" l="1"/>
  <c r="C10" i="18"/>
  <c r="C10" i="14"/>
  <c r="C11" i="13"/>
  <c r="C9" i="12"/>
  <c r="C10" i="17"/>
  <c r="C10" i="16"/>
  <c r="C11" i="14"/>
  <c r="C9" i="11"/>
  <c r="C9" i="17"/>
  <c r="C9" i="9"/>
  <c r="D11" i="10"/>
  <c r="D11" i="8"/>
  <c r="C9" i="16"/>
  <c r="D13" i="7"/>
  <c r="C9" i="6"/>
  <c r="C10" i="13"/>
  <c r="C9" i="18"/>
  <c r="J10" i="10"/>
  <c r="I10" i="10"/>
  <c r="H10" i="10"/>
  <c r="F10" i="10"/>
  <c r="E10" i="10"/>
  <c r="J10" i="8"/>
  <c r="I10" i="8"/>
  <c r="H10" i="8"/>
  <c r="F10" i="8"/>
  <c r="E10" i="8"/>
  <c r="J12" i="7"/>
  <c r="I12" i="7"/>
  <c r="H12" i="7"/>
  <c r="F12" i="7"/>
  <c r="E12" i="7"/>
  <c r="D10" i="10" l="1"/>
  <c r="D10" i="8"/>
  <c r="D12"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<sst xmlns="http://schemas.openxmlformats.org/spreadsheetml/2006/main" count="687" uniqueCount="250">
  <si>
    <t>Total</t>
  </si>
  <si>
    <t>11a</t>
  </si>
  <si>
    <t>11b</t>
  </si>
  <si>
    <t>GL</t>
  </si>
  <si>
    <t>AR</t>
  </si>
  <si>
    <t>AI</t>
  </si>
  <si>
    <t>AG</t>
  </si>
  <si>
    <t>BE</t>
  </si>
  <si>
    <t>BL</t>
  </si>
  <si>
    <t>BS</t>
  </si>
  <si>
    <t>FR</t>
  </si>
  <si>
    <t>GE</t>
  </si>
  <si>
    <t>GR</t>
  </si>
  <si>
    <t>JU</t>
  </si>
  <si>
    <t>LU</t>
  </si>
  <si>
    <t>NE</t>
  </si>
  <si>
    <t>NW</t>
  </si>
  <si>
    <t>OW</t>
  </si>
  <si>
    <t>SG</t>
  </si>
  <si>
    <t>SH</t>
  </si>
  <si>
    <t>SO</t>
  </si>
  <si>
    <t>SZ</t>
  </si>
  <si>
    <t>TG</t>
  </si>
  <si>
    <t>TI</t>
  </si>
  <si>
    <t>UR</t>
  </si>
  <si>
    <t>VD</t>
  </si>
  <si>
    <t>VS</t>
  </si>
  <si>
    <t>ZG</t>
  </si>
  <si>
    <t>ZH</t>
  </si>
  <si>
    <t>Dropdownlisten</t>
  </si>
  <si>
    <t>Auswahl mit "keine Angabe"</t>
  </si>
  <si>
    <t>SH ja/nein</t>
  </si>
  <si>
    <t>…..</t>
  </si>
  <si>
    <t>_</t>
  </si>
  <si>
    <t>-</t>
  </si>
  <si>
    <t>CH</t>
  </si>
  <si>
    <t>Tel.</t>
  </si>
  <si>
    <t>Altfälle ja/nein</t>
  </si>
  <si>
    <t>Kontrolle</t>
  </si>
  <si>
    <t>Anzahl Personen</t>
  </si>
  <si>
    <t>Anzahl Fälle</t>
  </si>
  <si>
    <t>Eintritte oder Personen erfasst</t>
  </si>
  <si>
    <t>Cantone:</t>
  </si>
  <si>
    <t>Si prega di selezionare:</t>
  </si>
  <si>
    <t>Data dell'avvio</t>
  </si>
  <si>
    <t>Contatto:</t>
  </si>
  <si>
    <t xml:space="preserve">Nome: </t>
  </si>
  <si>
    <t>e-mail:</t>
  </si>
  <si>
    <t>N. della scheda</t>
  </si>
  <si>
    <t>Contenuto</t>
  </si>
  <si>
    <t>Indicatori PIC</t>
  </si>
  <si>
    <t>Data del rilevamento:</t>
  </si>
  <si>
    <t>N.</t>
  </si>
  <si>
    <t>Indicatori 
(Circolare PIC, cap. 7.1.2)</t>
  </si>
  <si>
    <t>Indicatori resi operativi</t>
  </si>
  <si>
    <t>Spiegazioni</t>
  </si>
  <si>
    <t>Totale</t>
  </si>
  <si>
    <t>Osservazioni del Cantone</t>
  </si>
  <si>
    <r>
      <t>Numero di persone raggiunte nell'ambito della</t>
    </r>
    <r>
      <rPr>
        <b/>
        <sz val="11"/>
        <rFont val="Arial"/>
        <family val="2"/>
      </rPr>
      <t xml:space="preserve"> prima informazione</t>
    </r>
  </si>
  <si>
    <t>Vanno considerati tutte le persone con cui sono stati effettuati colloqui di consulenza nell'ambito dei mezzi a disposizione nel settore di promozione consulenza nell'anno in rassegna.</t>
  </si>
  <si>
    <r>
      <t xml:space="preserve">Numero di consulenze nei settori di promozione </t>
    </r>
    <r>
      <rPr>
        <b/>
        <sz val="11"/>
        <rFont val="Arial"/>
        <family val="2"/>
      </rPr>
      <t>«Protezione contro la discriminazione»</t>
    </r>
    <r>
      <rPr>
        <sz val="11"/>
        <rFont val="Arial"/>
        <family val="2"/>
      </rPr>
      <t xml:space="preserve"> </t>
    </r>
  </si>
  <si>
    <t>Vanno considerati tutte le persone con cui sono stati effettuati colloqui di consulenza nell'ambito dei mezzi a disposizione nel settore di promozione «Protezione contro la discriminazione» nell'anno in rassegna.</t>
  </si>
  <si>
    <r>
      <t xml:space="preserve">Numero di partecipanti ai </t>
    </r>
    <r>
      <rPr>
        <b/>
        <sz val="11"/>
        <rFont val="Arial"/>
        <family val="2"/>
      </rPr>
      <t>corsi di lingua</t>
    </r>
    <r>
      <rPr>
        <sz val="11"/>
        <rFont val="Arial"/>
        <family val="2"/>
      </rPr>
      <t xml:space="preserve"> sovvenzionati</t>
    </r>
  </si>
  <si>
    <r>
      <t xml:space="preserve">Numero di persone che frequentano misure nel settore di </t>
    </r>
    <r>
      <rPr>
        <b/>
        <sz val="11"/>
        <rFont val="Arial"/>
        <family val="2"/>
      </rPr>
      <t>promozione occupazionale</t>
    </r>
    <r>
      <rPr>
        <sz val="11"/>
        <rFont val="Arial"/>
        <family val="2"/>
      </rPr>
      <t xml:space="preserve">. </t>
    </r>
  </si>
  <si>
    <t>Sintesi Indicatori AIS</t>
  </si>
  <si>
    <t>Tipo</t>
  </si>
  <si>
    <t>Indicatori
(Circolare AIS, cap. 7.2)</t>
  </si>
  <si>
    <t xml:space="preserve">Totale
</t>
  </si>
  <si>
    <t>Numero di R 
(incl. APR)</t>
  </si>
  <si>
    <t>Numero di AP</t>
  </si>
  <si>
    <t>Numero di N</t>
  </si>
  <si>
    <t>Numero delle donne</t>
  </si>
  <si>
    <t>Numero degli uomini</t>
  </si>
  <si>
    <t xml:space="preserve">Sono considerati:
</t>
  </si>
  <si>
    <t>Prima informazione e bisogno in termini d'integrazione</t>
  </si>
  <si>
    <t>P</t>
  </si>
  <si>
    <t>Prima informazione</t>
  </si>
  <si>
    <t>Numero di R/AP a partire dai 16 anni raggiunti nel quadro della prima informazione nell'anno in rassegna.</t>
  </si>
  <si>
    <t>C</t>
  </si>
  <si>
    <t>Esperienza lavorativa</t>
  </si>
  <si>
    <t>Numero di R/Ap a partire dai 16 anni con esperienza lavorativa complessiva
- ≤ 1 anno
- &gt; 1 ≤ 5 anni 
- &gt; 5 ≤10 anni 
- &gt; 10 anni</t>
  </si>
  <si>
    <t>≤ 1 anno di esperienza lavorativa complessiva</t>
  </si>
  <si>
    <t>&gt;1≤ 5 anni di esperienza lavorativa complessiva</t>
  </si>
  <si>
    <t xml:space="preserve"> &gt;5≤10 anni di esperienza lavorativa complessiva</t>
  </si>
  <si>
    <t>&gt;10 anni di esperienza lavorativa complessiva</t>
  </si>
  <si>
    <t>Formazione</t>
  </si>
  <si>
    <t xml:space="preserve">Numero di R/AP a partire dai 16 anni che hanno frequentato la scuola:
- fino a 6 anni (0-72 mesi)
- più di 6 anni (a partire dai 73 mesi)
</t>
  </si>
  <si>
    <t>≤6 anni</t>
  </si>
  <si>
    <t>&gt;6 anni</t>
  </si>
  <si>
    <t>Alfabetizzazione</t>
  </si>
  <si>
    <t xml:space="preserve">Numero di R/AP a partire dai 16 anni non alfabetizzati. </t>
  </si>
  <si>
    <t>Potenziale</t>
  </si>
  <si>
    <t>Numero di R/AP a partire dai 16 anni che, stando a una prima valutazione della persona che gestisce il caso, presentano o meno, nell'ottica della fase di prima integrazione, un potenziale occupazionale e/o formativo.</t>
  </si>
  <si>
    <t>piuttosto sì</t>
  </si>
  <si>
    <t>piuttosto no</t>
  </si>
  <si>
    <t>Consulenza</t>
  </si>
  <si>
    <t>Casi aperti</t>
  </si>
  <si>
    <t>Numero di nuovi casi aperti nell'anno in rassegna nel quadro della gestione corrente dei casi.</t>
  </si>
  <si>
    <t>Lingua e formazione</t>
  </si>
  <si>
    <t>Promozione linguistica adulti</t>
  </si>
  <si>
    <t xml:space="preserve">Numero di R/AP a partire dai 16 anni che hanno aderito a offerte di promozione linguistica nell'anno in rassegna. </t>
  </si>
  <si>
    <t>O</t>
  </si>
  <si>
    <t>Livello linguistico adulti</t>
  </si>
  <si>
    <t>Numero di R/AP a partire dai 19 anni che, tre anni dopo l'arrivo in Svizzera, dispongono di un livello linguistico orale e scritto nella lingua del luogo di domicilio pari almeno al livello A1 QCER.</t>
  </si>
  <si>
    <t>Prima infanzia</t>
  </si>
  <si>
    <t xml:space="preserve">Promozione linguistica minori in età prescolare </t>
  </si>
  <si>
    <t>Numero di R/AP in età prescolare che nell'anno in rassegna hanno partecipato a misure di promozione linguistica per la prima infanzia prima di iniziare la scuola dell'obbligo.</t>
  </si>
  <si>
    <t>Potenziale formativo e occupazionale</t>
  </si>
  <si>
    <t>Promozione potenziale in ambito formativo</t>
  </si>
  <si>
    <t xml:space="preserve">Numero di R/AP tra i 16 e i 25 anni che nell'anno in rassegna hanno frequentato un'offerta di promozione del potenziale formativo (e/o occupazionale). 
</t>
  </si>
  <si>
    <t>Promozione potenziale in ambito occupazionale</t>
  </si>
  <si>
    <t xml:space="preserve">Numero di R/AP tra i 26 e i 55 anni che nell'anno in rassegna hanno frequentato un'offerta di promozione del potenziale occupazionale (e/o formativo). </t>
  </si>
  <si>
    <t>Vivere assieme</t>
  </si>
  <si>
    <t xml:space="preserve">Numero di R/AP a partire dai 16 anni che nell'anno in rassegna hanno frequentato un'offerta/una misura destinata principalmente alla promozione dell'integrazione sociale. </t>
  </si>
  <si>
    <t>Casi secondo il diritto previgente
(prima del 1.5.19)</t>
  </si>
  <si>
    <t>solo persone dipendenti dall'aiuto sociale</t>
  </si>
  <si>
    <t>Indicatore AIS N. 1 : «Prima informazione» - Indicatore di prestazione</t>
  </si>
  <si>
    <t>Indicatore</t>
  </si>
  <si>
    <t>Numero d' AP</t>
  </si>
  <si>
    <t>Donne</t>
  </si>
  <si>
    <t>Uomini</t>
  </si>
  <si>
    <t>Precisazioni</t>
  </si>
  <si>
    <t>Indicatore resi operativi</t>
  </si>
  <si>
    <t>Popolazione statistica</t>
  </si>
  <si>
    <t xml:space="preserve">Vanno considerati tutti i R/AP che sono stati raggiunti nell’ambito della prima informazione nell’anno in rassegna, indipendentemente dal fatto che abbiano ricevuto una decisione in materia d’asilo con permesso di dimora nell’anno in rassegna o l’anno precedente. 
Fanno parte della prima informazione esclusivamente i (primi) colloqui bilaterali e le manifestazioni informative. 
Si presuppone che la prima informazione sia svolta un’unica volta entro pochi mesi dall’attribuzione. In determinati Cantoni la prima informazione avviene già durante la procedura d’asilo (ampliata) oppure soltanto dopo la decisione sull’asilo.
</t>
  </si>
  <si>
    <t>Indicatore AIS N. 2: «Esperienza lavorativa» - Indicatore contestuale</t>
  </si>
  <si>
    <t>Indicatore AIS N. 3: «Formazione» - Indicatore contestuale</t>
  </si>
  <si>
    <t>Indicatore AIS N. 4: «Alfabetizzazione» - Indicatore contestuale</t>
  </si>
  <si>
    <t>Vanno considerati tutti gli R/AP che non dispongono di conoscenze scritte della loro prima lingua.
Occorre considerare i R/AP nell’ambito della gestione dei casi con cui durante l’anno in rassegna è stata effettuata una prima valutazione individuale delle risorse, risp. è stato condotto un primo colloquio d’informazione
Le informazioni fornite per gli indicatori 2-5 sono si basano principalmente su una dichiarazione dell'AP/R e non possono/devono essere appurate in dettaglio dalla persona che gestisce il caso. Ai fini del rilevamento degli indicatori è sufficiente un unico rilevamento di questi dati.</t>
  </si>
  <si>
    <t>Indicatore AIS N. 5: «Potenziale» - Indicatore contestuale</t>
  </si>
  <si>
    <t>Occorre considerare i R/AP nell’ambito della gestione dei casi con cui durante l’anno in rassegna è stata effettuata una prima valutazione individuale delle risorse, risp. è stato svolto un primo colloquio d’informazione. 
In determinati Cantoni la prima valutazione individuale delle risorse, risp. il primo colloquio d’informazione avviene al momento dell’apertura del caso.
Le informazioni fornite per gli indicatori 2-5 sono si basano principalmente su una dichiarazione dell'AP/R e non possono/devono essere appurate in dettaglio dalla persona che gestisce il caso. Ai fini del rilevamento degli indicatori è sufficiente un unico rilevamento di questi dati.</t>
  </si>
  <si>
    <t>Indicatore AIS N. 6: «Casi aperti» - Indicatore di prestazione</t>
  </si>
  <si>
    <t>Occorre considerare i R/AP per cui i servizi responsabili per i casi hanno aperto un nuovo fascicolo nell’anno in rassegna.</t>
  </si>
  <si>
    <t>Indicatore AIS N. 7: «Promozione linguistica adulti» - Indicatore di prestazione</t>
  </si>
  <si>
    <t>Sono considerati: 
(Si prega di selezionare)</t>
  </si>
  <si>
    <r>
      <t xml:space="preserve">Rilevamento
</t>
    </r>
    <r>
      <rPr>
        <sz val="11"/>
        <rFont val="Arial"/>
        <family val="2"/>
      </rPr>
      <t>(Si prega di selezionare)</t>
    </r>
  </si>
  <si>
    <t>numero delle offerte frequentate o il numero di persone che hanno aderito ad almeno un’offerta</t>
  </si>
  <si>
    <t xml:space="preserve">sì </t>
  </si>
  <si>
    <t>no</t>
  </si>
  <si>
    <t>numero di persone che hanno aderito ad almeno un’offerta</t>
  </si>
  <si>
    <t xml:space="preserve">numero delle offerte frequentate </t>
  </si>
  <si>
    <t>Indicatore AIS N. 8: «Livello linguistico adulti» - Indicatore d'obiettivo</t>
  </si>
  <si>
    <t>Modalità di rilevamento 
(Si prega di selezionare)</t>
  </si>
  <si>
    <t xml:space="preserve"> Certificato linguistico riconosciuto  </t>
  </si>
  <si>
    <t>Valutazione da parte di un insegnante di lingua</t>
  </si>
  <si>
    <t>Valutazione congiunta della persona che gestisce il caso e del R/AP</t>
  </si>
  <si>
    <t>Indicatore AIS N. 9: «Promozione linguistica minori in età prescolare» - Indicatore di prestazione</t>
  </si>
  <si>
    <t>Numero di R/AP in età prescolare nell’ambito della gestione dei casi nell’anno in rassegna
Vanno considerate le misure frequentate il cui scopo è la promozione linguistica dei bambini.</t>
  </si>
  <si>
    <t>Indicatore AIS N.11a:  «Promozione potenziale in ambito formativo» - Indicatore di prestazione</t>
  </si>
  <si>
    <t>Indicatore AIS N. 11b: «Promozione potenziale in ambito occupazionale» - Indicatore di prestazione</t>
  </si>
  <si>
    <t>Indicatore AIS 14 «Vivere assieme» - Indicatore di prestazione</t>
  </si>
  <si>
    <t xml:space="preserve">Nella colonna Osservazioni del Cantone, il Cantone indica quali tipi di offerta/misure prende in considerazione nel rilevare questo indicatore. Devono essere esclusivamente misure frequentate con l'obiettivo primario di promuovere l'integrazione sociale. </t>
  </si>
  <si>
    <t>Popolazione statistica AIS: R/AP con decisione a partire del 1 maggio 2019 (AIS entrata in vigore)</t>
  </si>
  <si>
    <t>Popolazione statistica Indicatori n. 1-6</t>
  </si>
  <si>
    <t>Popolazione statistica Indicatori n. 7</t>
  </si>
  <si>
    <t>Popolazione statistica Indicatori n. 8</t>
  </si>
  <si>
    <t>Popolazione statisticaIndicatori n. 9</t>
  </si>
  <si>
    <t>R (incl. APR)</t>
  </si>
  <si>
    <t>AP</t>
  </si>
  <si>
    <t>Cantone</t>
  </si>
  <si>
    <t>Éta del</t>
  </si>
  <si>
    <t>Popolazione statistica Indicatori n. 11a</t>
  </si>
  <si>
    <t>Popolazione statistica Indicatori n.11b</t>
  </si>
  <si>
    <t>Popolazione statistica Indicatori n.14</t>
  </si>
  <si>
    <t>Indice</t>
  </si>
  <si>
    <t>Indicatore AIS N. 1 : «Prima informazione»</t>
  </si>
  <si>
    <t>Indicatore AIS N. 2: «Esperienza lavorativa»</t>
  </si>
  <si>
    <t>Indicatore AIS N. 3: «Formazione»</t>
  </si>
  <si>
    <t>Indicatore AIS N. 4: «Alfabetizzazione»</t>
  </si>
  <si>
    <t>Indicatore AIS N. 5: «Potenziale»</t>
  </si>
  <si>
    <t>Indicatore AIS N. 6: «Casi aperti»</t>
  </si>
  <si>
    <t>Indicatore AIS N. 7: «Promozione linguistica adulti»</t>
  </si>
  <si>
    <t>Indicatore AIS N. 8: «Livello linguistico adulti»</t>
  </si>
  <si>
    <t>Indicatore AIS N. 9: «Promozione linguistica minori in età prescolare»</t>
  </si>
  <si>
    <t>Indicatore AIS N.11a:  «Promozione potenziale in ambito formativo»</t>
  </si>
  <si>
    <t xml:space="preserve">Indicatore AIS N. 11b: «Promozione potenziale in ambito occupazionale» </t>
  </si>
  <si>
    <t>Indicatore AIS 14 «Vivere assieme»</t>
  </si>
  <si>
    <t>Numero di S</t>
  </si>
  <si>
    <t>Numero di R/AP con data di nascita 31.12.2002 o più anziani, entrati in Svizzera nel corso dell'anno 2019 (1.1.-31.12.2019).</t>
  </si>
  <si>
    <t>S</t>
  </si>
  <si>
    <t>Popolazione statistica AIS: effettivo dei R/AP</t>
  </si>
  <si>
    <t>nessuna indicazione</t>
  </si>
  <si>
    <t>FL/VA sono inclusi</t>
  </si>
  <si>
    <t>Numero di stranieri con permesso B, C (fuori del settore dell’asilo) e L con cui è stato condotto un primo colloquio bilaterale o che hanno partecipato a una sessione informativa durante l'anno in rassegna.</t>
  </si>
  <si>
    <t>Devono essere conteggiate tutte le persone che hanno ricevuto la prima informazione durante l'anno in rassegna. La prima informazione include solo i (primi) colloqui bilaterali e le sessioni informative. 
Nella colonna Osservazioni del Cantone, il Cantone indica la composizione delle cifre indicate, ossia quali forme di prima informazione prende in considerazione.</t>
  </si>
  <si>
    <r>
      <t xml:space="preserve">Numero di persone che hanno ricevuto consulenza  nel settore della promozione </t>
    </r>
    <r>
      <rPr>
        <b/>
        <sz val="11"/>
        <rFont val="Arial"/>
        <family val="2"/>
      </rPr>
      <t>«Consulenza»</t>
    </r>
    <r>
      <rPr>
        <sz val="11"/>
        <rFont val="Arial"/>
        <family val="2"/>
      </rPr>
      <t xml:space="preserve">. </t>
    </r>
  </si>
  <si>
    <t>Vanno contate tutte le persone che hanno partecipato a un programma di promozione dell'occupabilità durante l'anno in esame. Ogni persona viene contata una sola volta, anche se ha partecipato a più offerte diverse. Se la partecipazione all'offerta viene interrotta o cancellata, l'iscrizione viene comunque conteggiata.  Di norma si tratta di offerte di qualificazione nel mercato del lavoro primario o secondario. 
Nella colonna Osservazioni del Cantone, il Cantone indica quali tipi di offerte prende in considerazione nel rilevare questo indicatore. Non vanno considerati gli AP/R che partecipano a offerte finalizzate in primo luogo alla promozione linguistica.</t>
  </si>
  <si>
    <t xml:space="preserve">Occorre prendere in considerazione i R/AP con cui, nell'ambito della gestione corrente dei casi, è stata effettuata una prima valutazione individuale delle risorse risp. è stato condotto un primo colloquio d’informazione nell’anno in rassegna. In determinati Cantoni la prima valutazione individuale delle risorse, risp. il primo colloquio d’informazione avviene al momento dell’apertura del caso.
Occorre prendere in considerazione qualsiasi esperienza lavorativa retribuita svolta all'estero, nello Stato d'origine, durante la fuga o in Svizzera. Vanno considerate anche le esperienze lavorative maturate nell'ambito di una formazione. 
Al più tardi a partire dal PIC 3 (a partire dall'anno di riferimento 2024), i Cantoni dovranno inserire il numero di anni di esperienza professionale come valore numerico e indicarlo nella griglia degli indicatori.
Le informazioni fornite per gli indicatori 2-5 sono si basano principalmente su una dichiarazione dell'AP/R e non possono/devono essere appurate in dettaglio dalla persona che gestisce il caso. Ai fini del rilevamento degli indicatori è sufficiente un unico rilevamento di questi dati.
</t>
  </si>
  <si>
    <t>Occorre considerare i R/AP nell’ambito della gestione dei casi con cui nell’anno in rassegna è stata effettuata una prima valutazione individuale delle risorse, risp. è stato condotto un primo colloquio d’informazione.
Il luogo in cui è stata frequentata la scuola è irrilevante (Stato d’origine, luoghi attraversati durante la fuga o altrove fuori della Svizzera).
Al più tardi a partire dall'PIC 3 (dall'anno di riferimento 2024), i Cantoni dovranno inserire il numero di anni di scolarizzazione completati come valore numerico e indicarlo nella griglia dell'indicatore.
Le informazioni fornite per gli indicatori 2-5 sono si basano principalmente su una dichiarazione dell'AP/R e non possono/devono essere appurate in dettaglio dalla persona che gestisce il caso. Ai fini del rilevamento degli indicatori è sufficiente un unico rilevamento di questi dati.</t>
  </si>
  <si>
    <t xml:space="preserve">Devono essere conteggiate tutti i R/AP che, durante l'anno in esame, hanno partecipato a un'offerta di promozione linguistica dopo esservi stati assegnati dal servizio di gestione dei casi. Ogni persona viene contata una sola volta, anche se ha partecipato a più offerte diverse. Se la partecipazione all'offerta viene interrotta o annullata, l'iscrizione viene comunque conteggiata. 
A partire dall'PIC 3 (dall'anno di riferimento 2024 in poi), i Cantoni dovranno differenziare il numero di R/AP per anno di ingresso e indicarlo nella griglia degli indicatori. Il primo numero di iscrizioni da indicare è quello dell'anno 2018 (2024: 7 anni in Svizzera).
</t>
  </si>
  <si>
    <t xml:space="preserve">Numero di R/AP a partire dai 19 anni nell’ambito della gestione dei casi nell’anno in rassegna, giunti in Svizzera tre anni prima dell’anno in rassegna (coorte d’entrata), 
Se possibile il Cantone indica in che modo è valutato il livello linguistico (possibilità di scelta multipla):
•  Certificato linguistico riconosciuto 
•  Valutazione da parte di un insegnante di lingua
•  Valutazione congiunta della persona che gestisce il caso e del R/AP
A partire dall'PIC 3 (dall'anno di riferimento 2024), si raccomanda ai Cantoni di registrare il livello linguistico dei R/AP. L'indicazione nella griglia degli indicatori (numero di R/AP con livello linguistico A1/A2, numero di R/AP con livello linguistico B1/B2, numero di R/AP con livello linguistico C1/C2) rimane tuttavia facoltativa.
</t>
  </si>
  <si>
    <t xml:space="preserve">Devono essere conteggiati, tutti i R/AP che hanno partecipato a un'offerta per la promozione del potenziale in ambito formativo (e/o occupazionale) durante l'anno in esame. Ogni persona viene contata una sola volta, anche se ha partecipato a più offerte diverse. Se la partecipazione all'offerta viene interrotta o annullata, l'iscrizione viene comunque conteggiata. 
Di regola, nella pratica non è possibile distinguere nettamente tra offerte di promozione del potenziale formativo e offerte di promozione del potenziale occupazionale. In ultima analisi è il servizio che gestisce il caso a decidere (sulla base del piano d'integrazione individuale del R/AP) se l'offerta X viene frequentata con l'obiettivo di promuovere il potenziale formativo o di promuovere il potenziale occupazionale. Essenzialmente, in base all'AIS, per gli R/AP tra i 16 e i 25 anni prevale la promozione del potenziale formativo, mentre per gli R/AP tra i 26 e i 55 anni prevale la promozione del potenziale occupazionale. Pertanto l'indicatore 11 distingue tra questi due gruppi d'età. 
Nella colonna Osservazioni il Cantone indica la composizione della cifra indicata, vale a dire quali tipi di offerta prende in considerazione nel rilevare questo indicatore. Non vanno considerati gli R/AP che partecipano a offerte finalizzate in primo luogo alla promozione linguistica. 
</t>
  </si>
  <si>
    <t xml:space="preserve">Devono essere conteggiati, tutti i R/AP che hanno partecipato a un'offerta per la promozione del potenziale in ambito formativo (e/o occupazionale) durante l'anno in esame. Ogni persona viene contata una sola volta, anche se ha partecipato a più offerte diverse. Se la partecipazione all'offerta viene interrotta o annullata, l'iscrizione viene comunque conteggiata.  
Di norma, si tratta di offerte di qualificazione nel mercato del lavoro primario e secondario. 
Di regola, nella pratica non è possibile distinguere nettamente tra offerte di promozione del potenziale formativo e offerte di promozione del potenziale occupazionale. In ultima analisi è il servizio che gestisce il caso a decidere (sulla base del piano d'integrazione individuale del R/AP) se l'offerta X viene frequentata con l'obiettivo di promuovere il potenziale formativo o di promuovere il potenziale occupazionale. Essenzialmente, in base all'AIS, per gli R/AP tra i 16 e i 25 anni prevale la promozione del potenziale formativo, mentre per gli R/AP tra i 26 e i 55 anni prevale la promozione del potenziale occupazionale. Pertanto l'indicatore 11 distingue tra questi due gruppi d'età. 
Nella colonna Osservazioni il Cantone indica la composizione della cifra indicata, vale a dire quali tipi di offerta prende in considerazione nel rilevare questo indicatore. Non vanno considerati gli R/AP che partecipano a offerte finalizzate in primo luogo alla promozione linguistica. </t>
  </si>
  <si>
    <t>Vanno contate tutte le persone che hanno partecipato a un corso di formazione linguistica durante l'anno in esame. Ogni persona viene contata una sola volta, anche se ha frequentato più corsi diversi. Se la partecipazione all'offerta viene interrotta o annullata, l'iscrizione viene comunque conteggiata. 
Nella colonna Osservazioni del Cantone, il Cantone indica quali offerte di promozione linguistica prende in considerazione nel rilevare questo indicatore.</t>
  </si>
  <si>
    <t>Numero di stranieri con permesso B, C (fuori del settore dell’asilo) e L che hanno partecipato a un programma di formazione linguistica durante l'anno in rassegna.</t>
  </si>
  <si>
    <t xml:space="preserve">Numero di stranieri con permesso B, C (fuori del settore dell’asilo)  e L che hanno ricevuto consulenza nell'anno in rassegna nell'ambito del settore di promozione «Consulenza». </t>
  </si>
  <si>
    <t xml:space="preserve">Numero di stranieri con permesso B, C (fuori del settore dell’asilo)  e L che hanno frequentato un'offerta di promozione del potenziale occupazionale nell'anno in rassegna. </t>
  </si>
  <si>
    <t xml:space="preserve">Numero di stranieri con permesso B, C (al di fuori dell'ambito dell'asilo e dei rifugiati) e L con cui è stata effettuata una consulenza finanziata dall'area di promozione "Protezione dalla discriminazione" nell'anno in rassegna. </t>
  </si>
  <si>
    <t>Griglia Indicatori PIC / AIS 2023</t>
  </si>
  <si>
    <r>
      <t xml:space="preserve">Per l’anno di rapporto 2023: Numero di R/AP con </t>
    </r>
    <r>
      <rPr>
        <b/>
        <sz val="11"/>
        <rFont val="Arial"/>
        <family val="2"/>
      </rPr>
      <t>data di nascita 31.12.2007 o più anziani</t>
    </r>
    <r>
      <rPr>
        <sz val="11"/>
        <rFont val="Arial"/>
        <family val="2"/>
      </rPr>
      <t xml:space="preserve"> raggiunti nel quadro della prima informazione nell’anno in rassegna.</t>
    </r>
  </si>
  <si>
    <t xml:space="preserve">Popolazione statistica prevista ricavata da dati SIMIC per l’anno di rapporto 2023 al fine di verificare la plausibilità e di confrontare i dati fra i Cantoni (vale per tutti gli indicatori 1-6): numero di R/AP con data di nascita 31.12.2007 o più anziani che nell’anno in rassegna hanno ricevuto una decisione sull’asilo con permesso di soggiorno e al momento dell’entrata avevano almeno 16 anni.
</t>
  </si>
  <si>
    <r>
      <t xml:space="preserve">Per l’anno di rapporto 2023: Numero di R/AP con </t>
    </r>
    <r>
      <rPr>
        <b/>
        <sz val="11"/>
        <rFont val="Arial"/>
        <family val="2"/>
      </rPr>
      <t>data di nascita 31.12.2007 o più anziani</t>
    </r>
    <r>
      <rPr>
        <sz val="11"/>
        <rFont val="Arial"/>
        <family val="2"/>
      </rPr>
      <t>, con esperienza lavorativa complessiva:
- ≤ 1 anno
- &gt; 1 ≤  5 anni 
- &gt; 5 ≤1 0 anni 
- &gt; 10 anni</t>
    </r>
  </si>
  <si>
    <t>Popolazione statistica prevista ricavata da dati SIMIC per l’anno di rapporto 2023 al fine di verificare la plausibilità e di confrontare i dati fra i Cantoni (vale per tutti gli indicatori 1-6): numero di R/AP con data di nascita 31.12.2007 o più anziani che nell’anno in rassegna hanno ricevuto una decisione sull’asilo con permesso di soggiorno e al momento dell’entrata avevano almeno 16 anni.</t>
  </si>
  <si>
    <r>
      <t xml:space="preserve">Per l’anno di rapporto 2023: Numero di R/AP </t>
    </r>
    <r>
      <rPr>
        <b/>
        <sz val="11"/>
        <rFont val="Arial"/>
        <family val="2"/>
      </rPr>
      <t>con data di nascita 31.12.2007 o più anziani</t>
    </r>
    <r>
      <rPr>
        <sz val="11"/>
        <rFont val="Arial"/>
        <family val="2"/>
      </rPr>
      <t>, che hanno frequentato la scuola:
- fino a 6 anni (0-72 mesi)
- più di 6 anni (a partire dai 73 mesi)</t>
    </r>
  </si>
  <si>
    <r>
      <t>Per l’anno di rapporto 2023: Numero di R/AP</t>
    </r>
    <r>
      <rPr>
        <b/>
        <sz val="11"/>
        <rFont val="Arial"/>
        <family val="2"/>
      </rPr>
      <t xml:space="preserve"> con data di nascita 31.12.2007 o più anziani</t>
    </r>
    <r>
      <rPr>
        <sz val="11"/>
        <rFont val="Arial"/>
        <family val="2"/>
      </rPr>
      <t xml:space="preserve"> non alfabetizzati. </t>
    </r>
  </si>
  <si>
    <t>Fonte: SEM/SYMIC, giorno di riferimento:  31.12.2023</t>
  </si>
  <si>
    <t>Numero di R/AP con data di nascita tra il 01.08.2018 e il 31.12.2023.</t>
  </si>
  <si>
    <t xml:space="preserve">Fonte: SEM/SYMIC, giorno di riferimento:  31.12.2023 </t>
  </si>
  <si>
    <t>Per l’anno di rapporto 2023: Numero di R/AP con data di nascita 31.12.2007 o più anziani che stando a una prima valutazione della persona che gestisce il caso, presentano o meno, nell’ottica della fase di prima integrazione, un potenziale occupazionale e/o formativo.</t>
  </si>
  <si>
    <t xml:space="preserve">Per l’anno di rapporto 2023: Numero di R/AP con data di nascita 31.12.2007 o più anziani, che hanno aderito a offerte di promozione linguistica nell'anno in rassegna. </t>
  </si>
  <si>
    <t>Per l’anno di rapporto 2023: Numero di R/AP con data di nascita 31.12.2007 o più anziani che nell’anno in rassegna hanno frequentato un’offerta/una misura destinata principalmente alla promozione dell’integrazione sociale.</t>
  </si>
  <si>
    <t>Numero di R/AP con data di nascita 31.12.2007 o più anziani che nell’anno in rassegna hanno ricevuto una decisione sull’asilo con permesso di soggiorno e al momento dell’entrata avevano almeno 16 anni.</t>
  </si>
  <si>
    <t>Popolazione statistica prevista ricavata da dati SIMIC per l’anno di rapporto 2023 al fine di verificare la plausibilità e di confrontare i dati fra i Cantoni: numero di R/AP con data di nascita 31.12.2007 o più anziani, entrati in Svizzera a partire dal 1.1.2017 e che al momento dell’entrata avevano almeno 16 anni.</t>
  </si>
  <si>
    <t>Popolazione statistica prevista ricavata da dati SIMIC per l’anno di rapporto 2023 al fine di verificare la plausibilità e di confrontare i dati fra i Cantoni: numero di R/AP con data di nascita 31.12.2007 o più anziani, entrati in Svizzera a partire dal 1.1.2017.</t>
  </si>
  <si>
    <t>Numero di R/AP con data di nascita 31.12.2007 o più anziani, entrati in Svizzera a partire dal 1.1.2017 e che al momento dell’entrata avevano almeno 16 anni.</t>
  </si>
  <si>
    <t>Numero di R/AP con data di nascita 31.12.2007 o più anziani, entrati in Svizzera a partire dal 1.1.2017.</t>
  </si>
  <si>
    <t>* Il valore "Totale" è calcolato senza tenere conto delle persone con status di protezione S.</t>
  </si>
  <si>
    <t xml:space="preserve">** Le persone con status di protezione S non sono incluse negli universi statistici "Totale", "Donne" e "Uomini". </t>
  </si>
  <si>
    <t>Numero di R/AP a partire dai 16 anni raggiunti nel quadro della prima informazione nell'anno in rassegna*</t>
  </si>
  <si>
    <t>Popolazione statistica AIS: R/AP con decisione d'asilo nell'anno in rassegna (scheda 16)**</t>
  </si>
  <si>
    <t>Numero di R/Ap a partire dai 16 anni con esperienza lavorativa complessiva
- ≤ 1 anno
- &gt; 1 ≤ 5 anni 
- &gt; 5 ≤10 anni 
- &gt; 10 anni*</t>
  </si>
  <si>
    <t>Numero di R/AP a partire dai 16 anni che hanno frequentato la scuola:
- fino a 6 anni (0-72 mesi)
- più di 6 anni (a partire dai 73 mesi)*</t>
  </si>
  <si>
    <t xml:space="preserve">Numero di R/AP a partire dai 16 anni non alfabetizzati* </t>
  </si>
  <si>
    <t>Numero di R/AP a partire dai 16 anni che, stando a una prima valutazione della persona che gestisce il caso, presentano o meno, nell'ottica della fase di prima integrazione, un potenziale occupazionale e/o formativo*</t>
  </si>
  <si>
    <t>Numero di nuovi casi aperti nell'anno in rassegna nel quadro della gestione corrente dei casi*</t>
  </si>
  <si>
    <t>Numero di R/AP a partire dai 16 anni che hanno aderito a offerte di promozione linguistica nell'anno in rassegna*</t>
  </si>
  <si>
    <t>Popolazione statistica AIS: R/AP con decisione a partire dal 1.5.2019 (scheda 16)**</t>
  </si>
  <si>
    <t>Popolazione statistica AIS: R/AP entrata in Svizzera a partire dal 1.1.2017 (scheda 17)**</t>
  </si>
  <si>
    <t>Numero di R/AP a partire dai 19 anni che, tre anni dopo l'arrivo in Svizzera, dispongono di un livello linguistico orale e scritto nella lingua del luogo di domicilio pari almeno al livello A1 QCER*</t>
  </si>
  <si>
    <t>Popolazione statistica AIS: R/AP entrata in Svizzera nel corso dell'anno 2019 (scheda 16)**</t>
  </si>
  <si>
    <t>Per l’anno di rapporto 2023: Numero di R/AP con data di nascita 31.12.2003 o più anziani, tre anni dopo l'arrivo in Svizzera (1.1.-31.12.2020), dispongono di un livello linguistico orale e scritto nella lingua del luogo di domicilio pari almeno al livello A1 QCER.</t>
  </si>
  <si>
    <t>Per l’anno di rapporto 2023: Numero di R/AP in età prescolare (con data di nascita tra il 1.8.2019 e il 31.12.2023), che nell’anno in rassegna hanno partecipato a misure di promozione linguistica per la prima infanzia prima di iniziare la scuola dell’obbligo.</t>
  </si>
  <si>
    <t>Popolazione statistica prevista ricavata da dati SIMIC per l’anno di rapporto 2023 al fine di verificare la plausibilità e di confrontare i dati fra i Cantoni: numero di R/AP con data di nascita tra il 01.08.2019 e il 31.12.2023.</t>
  </si>
  <si>
    <t>Numero di R/AP in età prescolare che nell'anno in rassegna hanno partecipato a misure di promozione linguistica per la prima infanzia prima di iniziare la scuola dell'obbligo*</t>
  </si>
  <si>
    <t xml:space="preserve">Per il rapporto 2023: Numero di R/AP di età compresa tra 16 e 25 anni (nati tra l'1.1.1998 e il 31.12.2007) che hanno partecipato a un'offerta per la promozione del potenziale in ambito formativo (e/o occupazionale) durante l'anno in esame. </t>
  </si>
  <si>
    <t>Popolazione statistica prevista ricavata da dati SIMIC per l’anno di rapporto 2023 al fine di verificare la plausibilità e di confrontare i dati fra i Cantoni: numero di R/AP con data di nascita tra l’1.1.1998 e il 31.12.2007, entrati a partire dal 1.1.2017, che all’entrata avevano almeno 16 anni.</t>
  </si>
  <si>
    <t xml:space="preserve">Per il rapporto 2023: Numero di R/AP tra i 26 e i 55 anni (nati tra l'1.1.1968 e il 31.12.1997) che hanno partecipato durante l'anno in rassegna a un'offerta per la promozione del potenziale in ambito occupazionale (e/o formativo). </t>
  </si>
  <si>
    <t>Popolazione statistica prevista ricavata da dati SIMIC per l’anno di rapporto 2023 al fine di verificare la plausibilità e di confrontare i dati fra i Cantoni: numero di R/AP con data di nascita tra l’1.1.1968 e il 31.12.1997, entrati a partire dal 1.1.2017.</t>
  </si>
  <si>
    <t>Numero di R/AP tra i 16 e i 25 anni che nell'anno in rassegna hanno frequentato un'offerta di promozione del potenziale formativo (e/o occupazionale)*</t>
  </si>
  <si>
    <t>Numero di R/AP tra i 26 e i 55 anni che nell'anno in rassegna hanno frequentato un'offerta di promozione del potenziale occupazionale (e/o formativo)*</t>
  </si>
  <si>
    <t xml:space="preserve">Numero di R/AP a partire dai 16 anni che nell'anno in rassegna hanno frequentato un'offerta/una misura destinata principalmente alla promozione dell'integrazione sociale* </t>
  </si>
  <si>
    <t>Popolazione statistica prevista ricavata da dati SIMIC per l’anno di rapporto 2023 al fine di verificare la plausibilità e di confrontare i dati fra i Cantoni: numero di R/AP con data di nascita 31.12.2003 o più anziani, entrati in Svizzera nel corso dell'anno 2020 (1.1.-31.12.2020).</t>
  </si>
  <si>
    <t>Numero di R/AP con data di nascita 31.12.2003 o più anziani, entrati in Svizzera nel corso dell'anno 2020 (1.1.-31.12.2020).</t>
  </si>
  <si>
    <t>Numero di R/AP con data di nascita tra l’1.1.1998 e il 31.12.2007, entrati a partire dal 1.1.2017, che all’entrata avevano almeno 16 anni.</t>
  </si>
  <si>
    <t>Numero di R/AP con data di nascita tra l’1.1.1968 e il 31.12.1997, entrati a partire dal 1.1.2017.</t>
  </si>
  <si>
    <t>Numero di R/AP con data di nascita tra il 01.08.2019 e il 31.12.2023.</t>
  </si>
  <si>
    <t>&gt; 1 ≤ 5 anni di esperienza lavorativa complessiva</t>
  </si>
  <si>
    <t>&gt; 5 ≤10 anni di esperienza lavorativa complessiva</t>
  </si>
  <si>
    <t>&gt; 10 anni di esperienza lavorativa complessiva</t>
  </si>
  <si>
    <t>Solo persone dipendenti dall'aiuto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</si>
</sst>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rial"/>
      <family val="2"/>
    </font>
    <font>
      <b/>
      <sz val="11"/>
      <color theme="1"/>
      <name val="Arial"/>
      <family val="2"/>
    </font>
    <font>
      <sz val="10"/>
      <name val="Arial"/>
      <family val="2"/>
    </font>
    <font>
      <sz val="11"/>
      <name val="Arial"/>
      <family val="2"/>
    </font>
    <font>
      <b/>
      <sz val="11"/>
      <name val="Arial"/>
      <family val="2"/>
    </font>
    <font>
      <b/>
      <i/>
      <sz val="11"/>
      <name val="Arial"/>
      <family val="2"/>
    </font>
    <font>
      <b/>
      <sz val="14"/>
      <name val="Arial"/>
      <family val="2"/>
    </font>
    <font>
      <b/>
      <sz val="20"/>
      <name val="Arial"/>
      <family val="2"/>
    </font>
    <font>
      <b/>
      <sz val="22"/>
      <name val="Arial"/>
      <family val="2"/>
    </font>
    <font>
      <sz val="18"/>
      <color theme="1"/>
      <name val="Arial"/>
      <family val="2"/>
    </font>
    <font>
      <sz val="20"/>
      <color theme="1"/>
      <name val="Arial"/>
      <family val="2"/>
    </font>
    <font>
      <sz val="22"/>
      <color theme="1"/>
      <name val="Arial"/>
      <family val="2"/>
    </font>
    <font>
      <b/>
      <sz val="22"/>
      <color theme="1"/>
      <name val="Arial"/>
      <family val="2"/>
    </font>
    <font>
      <b/>
      <sz val="16"/>
      <color theme="1"/>
      <name val="Arial"/>
      <family val="2"/>
    </font>
    <font>
      <b/>
      <sz val="24"/>
      <color theme="0"/>
      <name val="Arial"/>
      <family val="2"/>
    </font>
    <font>
      <b/>
      <sz val="22"/>
      <color theme="0"/>
      <name val="Arial"/>
      <family val="2"/>
    </font>
    <font>
      <sz val="20"/>
      <name val="Arial"/>
      <family val="2"/>
    </font>
    <font>
      <b/>
      <sz val="11"/>
      <color theme="7" tint="-0.499984740745262"/>
      <name val="Arial"/>
      <family val="2"/>
    </font>
    <font>
      <b/>
      <sz val="11"/>
      <color theme="5" tint="-0.499984740745262"/>
      <name val="Arial"/>
      <family val="2"/>
    </font>
    <font>
      <b/>
      <sz val="10"/>
      <color theme="1"/>
      <name val="Arial"/>
      <family val="2"/>
    </font>
    <font>
      <b/>
      <sz val="11"/>
      <color rgb="FFFF0000"/>
      <name val="Arial"/>
      <family val="2"/>
    </font>
    <font>
      <b/>
      <sz val="10"/>
      <name val="Arial"/>
      <family val="2"/>
    </font>
    <font>
      <u/>
      <sz val="11"/>
      <color theme="10"/>
      <name val="Arial"/>
      <family val="2"/>
    </font>
    <font>
      <b/>
      <sz val="11"/>
      <color rgb="FF5F2C09"/>
      <name val="Arial"/>
      <family val="2"/>
    </font>
    <font>
      <b/>
      <sz val="12"/>
      <color theme="1"/>
      <name val="Arial"/>
      <family val="2"/>
    </font>
    <font>
      <sz val="11"/>
      <color theme="0"/>
      <name val="Arial"/>
      <family val="2"/>
    </font>
    <font>
      <b/>
      <u/>
      <sz val="14"/>
      <color rgb="FF305496"/>
      <name val="Arial"/>
      <family val="2"/>
    </font>
    <font>
      <b/>
      <sz val="14"/>
      <color rgb="FF305496"/>
      <name val="Arial"/>
      <family val="2"/>
    </font>
    <font>
      <b/>
      <sz val="14"/>
      <color theme="1"/>
      <name val="Arial"/>
      <family val="2"/>
    </font>
    <font>
      <b/>
      <sz val="16"/>
      <name val="Arial"/>
      <family val="2"/>
    </font>
    <font>
      <b/>
      <sz val="20"/>
      <color theme="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7"/>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ck">
        <color indexed="64"/>
      </bottom>
      <diagonal/>
    </border>
    <border>
      <left style="thin">
        <color indexed="64"/>
      </left>
      <right/>
      <top/>
      <bottom/>
      <diagonal/>
    </border>
  </borders>
  <cellStyleXfs count="3">
    <xf numFmtId="0" fontId="0" fillId="0" borderId="0"/>
    <xf numFmtId="0" fontId="2" fillId="0" borderId="0"/>
    <xf numFmtId="0" fontId="22" fillId="0" borderId="0" applyNumberFormat="0" applyFill="0" applyBorder="0" applyAlignment="0" applyProtection="0"/>
  </cellStyleXfs>
  <cellXfs count="558">
    <xf numFmtId="0" fontId="0" fillId="0" borderId="0" xfId="0"/>
    <xf numFmtId="0" fontId="3" fillId="0" borderId="0" xfId="0" applyFont="1"/>
    <xf numFmtId="0" fontId="4" fillId="0" borderId="0" xfId="0" applyFont="1" applyAlignment="1">
      <alignment wrapText="1"/>
    </xf>
    <xf numFmtId="0" fontId="3" fillId="0" borderId="0" xfId="0" applyFont="1" applyAlignment="1">
      <alignment wrapText="1"/>
    </xf>
    <xf numFmtId="0" fontId="3" fillId="0" borderId="0" xfId="0" applyFont="1" applyFill="1" applyAlignment="1">
      <alignment wrapText="1"/>
    </xf>
    <xf numFmtId="0" fontId="4" fillId="0" borderId="0" xfId="0" applyFont="1" applyFill="1" applyAlignment="1">
      <alignment wrapText="1"/>
    </xf>
    <xf numFmtId="0" fontId="3" fillId="0" borderId="0" xfId="0" applyFont="1" applyAlignment="1">
      <alignment horizontal="left" vertical="top" wrapText="1"/>
    </xf>
    <xf numFmtId="0" fontId="6" fillId="0" borderId="0" xfId="0" applyFont="1" applyAlignment="1">
      <alignment vertical="top"/>
    </xf>
    <xf numFmtId="0" fontId="4" fillId="0" borderId="30" xfId="0" applyFont="1" applyBorder="1" applyAlignment="1">
      <alignment horizontal="left" vertical="top" textRotation="90" wrapText="1"/>
    </xf>
    <xf numFmtId="0" fontId="4" fillId="0" borderId="33" xfId="0" applyFont="1" applyBorder="1" applyAlignment="1">
      <alignment horizontal="left" vertical="top" wrapText="1"/>
    </xf>
    <xf numFmtId="0" fontId="3" fillId="0" borderId="21" xfId="0" applyNumberFormat="1" applyFont="1" applyBorder="1" applyAlignment="1">
      <alignment horizontal="left" vertical="top" wrapText="1"/>
    </xf>
    <xf numFmtId="0" fontId="3" fillId="0" borderId="0" xfId="0" applyFont="1" applyBorder="1" applyAlignment="1">
      <alignment horizontal="left" vertical="top"/>
    </xf>
    <xf numFmtId="0" fontId="3" fillId="3" borderId="0" xfId="0" applyFont="1" applyFill="1" applyBorder="1" applyAlignment="1">
      <alignment horizontal="left" vertical="top" wrapText="1"/>
    </xf>
    <xf numFmtId="0" fontId="3" fillId="3" borderId="0" xfId="0" applyFont="1" applyFill="1"/>
    <xf numFmtId="0" fontId="3" fillId="3" borderId="0" xfId="0" applyFont="1" applyFill="1" applyBorder="1"/>
    <xf numFmtId="0" fontId="6" fillId="3" borderId="0" xfId="0" applyFont="1" applyFill="1" applyAlignment="1">
      <alignment horizontal="left" vertical="top"/>
    </xf>
    <xf numFmtId="0" fontId="3" fillId="3" borderId="0" xfId="0" applyFont="1" applyFill="1" applyAlignment="1">
      <alignment horizontal="left" vertical="top" wrapText="1"/>
    </xf>
    <xf numFmtId="0" fontId="3" fillId="3" borderId="0" xfId="0" applyFont="1" applyFill="1" applyAlignment="1">
      <alignment horizontal="left"/>
    </xf>
    <xf numFmtId="0" fontId="4" fillId="4" borderId="45" xfId="0" applyFont="1" applyFill="1" applyBorder="1" applyAlignment="1">
      <alignment horizontal="left" vertical="top"/>
    </xf>
    <xf numFmtId="0" fontId="4" fillId="4" borderId="12" xfId="0" applyFont="1" applyFill="1" applyBorder="1" applyAlignment="1">
      <alignment horizontal="left" vertical="top"/>
    </xf>
    <xf numFmtId="0" fontId="4" fillId="4" borderId="51" xfId="0" applyFont="1" applyFill="1" applyBorder="1" applyAlignment="1">
      <alignment horizontal="left" vertical="top"/>
    </xf>
    <xf numFmtId="0" fontId="3" fillId="3" borderId="11" xfId="0" applyFont="1" applyFill="1" applyBorder="1" applyAlignment="1">
      <alignment vertical="top" wrapText="1"/>
    </xf>
    <xf numFmtId="0" fontId="3" fillId="3" borderId="17" xfId="0" applyFont="1" applyFill="1" applyBorder="1" applyAlignment="1">
      <alignment horizontal="left" vertical="top" wrapText="1"/>
    </xf>
    <xf numFmtId="0" fontId="3" fillId="3" borderId="47" xfId="0" applyFont="1" applyFill="1" applyBorder="1" applyAlignment="1">
      <alignment horizontal="left" vertical="top" wrapText="1"/>
    </xf>
    <xf numFmtId="0" fontId="3" fillId="0" borderId="5" xfId="0" applyNumberFormat="1" applyFont="1" applyBorder="1" applyAlignment="1">
      <alignment horizontal="left" vertical="top" wrapText="1"/>
    </xf>
    <xf numFmtId="0" fontId="4" fillId="2" borderId="30" xfId="0" applyFont="1" applyFill="1" applyBorder="1" applyAlignment="1">
      <alignment horizontal="left" vertical="top" wrapText="1"/>
    </xf>
    <xf numFmtId="3" fontId="3" fillId="0" borderId="7" xfId="0" applyNumberFormat="1" applyFont="1" applyBorder="1" applyAlignment="1" applyProtection="1">
      <alignment horizontal="center" vertical="center" wrapText="1"/>
    </xf>
    <xf numFmtId="3" fontId="3" fillId="0" borderId="9" xfId="0" applyNumberFormat="1" applyFont="1" applyBorder="1" applyAlignment="1" applyProtection="1">
      <alignment horizontal="center" vertical="center" wrapText="1"/>
    </xf>
    <xf numFmtId="3" fontId="3" fillId="0" borderId="1" xfId="0" applyNumberFormat="1" applyFont="1" applyBorder="1" applyAlignment="1" applyProtection="1">
      <alignment horizontal="center" vertical="center" wrapText="1"/>
    </xf>
    <xf numFmtId="3" fontId="3" fillId="0" borderId="37" xfId="0" applyNumberFormat="1" applyFont="1" applyBorder="1" applyAlignment="1" applyProtection="1">
      <alignment horizontal="center" vertical="center" wrapText="1"/>
    </xf>
    <xf numFmtId="3" fontId="3" fillId="0" borderId="20" xfId="0" applyNumberFormat="1" applyFont="1" applyBorder="1" applyAlignment="1" applyProtection="1">
      <alignment horizontal="center" vertical="center" wrapText="1"/>
    </xf>
    <xf numFmtId="3" fontId="3" fillId="0" borderId="21" xfId="0" applyNumberFormat="1" applyFont="1" applyBorder="1" applyAlignment="1" applyProtection="1">
      <alignment horizontal="center" vertical="center" wrapText="1"/>
    </xf>
    <xf numFmtId="0" fontId="3" fillId="0" borderId="30" xfId="0" applyFont="1" applyFill="1" applyBorder="1" applyAlignment="1">
      <alignment horizontal="left" vertical="top" wrapText="1"/>
    </xf>
    <xf numFmtId="0" fontId="3" fillId="0" borderId="27" xfId="0" applyFont="1" applyBorder="1" applyAlignment="1">
      <alignment horizontal="left" vertical="top" wrapText="1"/>
    </xf>
    <xf numFmtId="0" fontId="3" fillId="0" borderId="30" xfId="0" applyNumberFormat="1" applyFont="1" applyBorder="1" applyAlignment="1">
      <alignment horizontal="left" vertical="top" wrapText="1"/>
    </xf>
    <xf numFmtId="0" fontId="3" fillId="0" borderId="29" xfId="0" applyNumberFormat="1" applyFont="1" applyBorder="1" applyAlignment="1">
      <alignment horizontal="left" vertical="top" wrapText="1"/>
    </xf>
    <xf numFmtId="3" fontId="3" fillId="0" borderId="32" xfId="0" applyNumberFormat="1" applyFont="1" applyBorder="1" applyAlignment="1" applyProtection="1">
      <alignment horizontal="center" vertical="center" wrapText="1"/>
    </xf>
    <xf numFmtId="3" fontId="3" fillId="0" borderId="39" xfId="0" applyNumberFormat="1" applyFont="1" applyBorder="1" applyAlignment="1" applyProtection="1">
      <alignment horizontal="center" vertical="center" wrapText="1"/>
    </xf>
    <xf numFmtId="0" fontId="3" fillId="0" borderId="24" xfId="0" applyNumberFormat="1" applyFont="1" applyBorder="1" applyAlignment="1">
      <alignment horizontal="left" vertical="top" wrapText="1"/>
    </xf>
    <xf numFmtId="3" fontId="3" fillId="0" borderId="31" xfId="0" applyNumberFormat="1" applyFont="1" applyBorder="1" applyAlignment="1" applyProtection="1">
      <alignment horizontal="center" vertical="center" wrapText="1"/>
    </xf>
    <xf numFmtId="3" fontId="3" fillId="0" borderId="22" xfId="0" applyNumberFormat="1" applyFont="1" applyBorder="1" applyAlignment="1" applyProtection="1">
      <alignment horizontal="center" vertical="center" wrapText="1"/>
    </xf>
    <xf numFmtId="3" fontId="3" fillId="0" borderId="24" xfId="0" applyNumberFormat="1" applyFont="1" applyBorder="1" applyAlignment="1" applyProtection="1">
      <alignment horizontal="center" vertical="center" wrapText="1"/>
    </xf>
    <xf numFmtId="0" fontId="3" fillId="0" borderId="26" xfId="0" applyFont="1" applyBorder="1" applyAlignment="1">
      <alignment horizontal="left" vertical="top" wrapText="1"/>
    </xf>
    <xf numFmtId="3" fontId="3" fillId="0" borderId="29" xfId="0" applyNumberFormat="1" applyFont="1" applyBorder="1" applyAlignment="1" applyProtection="1">
      <alignment horizontal="center" vertical="center" wrapText="1"/>
    </xf>
    <xf numFmtId="0" fontId="3" fillId="0" borderId="57" xfId="0" applyNumberFormat="1" applyFont="1" applyBorder="1" applyAlignment="1">
      <alignment horizontal="left" vertical="top" wrapText="1"/>
    </xf>
    <xf numFmtId="3" fontId="3" fillId="0" borderId="28" xfId="0" applyNumberFormat="1" applyFont="1" applyBorder="1" applyAlignment="1" applyProtection="1">
      <alignment horizontal="center" vertical="center" wrapText="1"/>
    </xf>
    <xf numFmtId="3" fontId="3" fillId="0" borderId="57" xfId="0" applyNumberFormat="1" applyFont="1" applyBorder="1" applyAlignment="1" applyProtection="1">
      <alignment horizontal="center" vertical="center" wrapText="1"/>
    </xf>
    <xf numFmtId="3" fontId="3" fillId="0" borderId="26" xfId="0" applyNumberFormat="1" applyFont="1" applyBorder="1" applyAlignment="1" applyProtection="1">
      <alignment horizontal="center" vertical="center" wrapText="1"/>
    </xf>
    <xf numFmtId="3" fontId="3" fillId="0" borderId="55" xfId="0" applyNumberFormat="1" applyFont="1" applyBorder="1" applyAlignment="1" applyProtection="1">
      <alignment horizontal="center" vertical="center" wrapText="1"/>
    </xf>
    <xf numFmtId="0" fontId="3" fillId="0" borderId="30" xfId="0" applyNumberFormat="1" applyFont="1" applyFill="1" applyBorder="1" applyAlignment="1">
      <alignment horizontal="left" vertical="top" wrapText="1"/>
    </xf>
    <xf numFmtId="0" fontId="3" fillId="0" borderId="29" xfId="0" applyNumberFormat="1" applyFont="1" applyFill="1" applyBorder="1" applyAlignment="1">
      <alignment horizontal="left" vertical="top" wrapText="1"/>
    </xf>
    <xf numFmtId="0" fontId="3" fillId="0" borderId="30" xfId="0" applyFont="1" applyBorder="1"/>
    <xf numFmtId="0" fontId="5" fillId="2" borderId="30" xfId="0" applyNumberFormat="1" applyFont="1" applyFill="1" applyBorder="1" applyAlignment="1">
      <alignment wrapText="1"/>
    </xf>
    <xf numFmtId="0" fontId="3" fillId="2" borderId="29" xfId="0" applyNumberFormat="1" applyFont="1" applyFill="1" applyBorder="1" applyAlignment="1">
      <alignment wrapText="1"/>
    </xf>
    <xf numFmtId="0" fontId="3" fillId="2" borderId="39" xfId="0" applyNumberFormat="1" applyFont="1" applyFill="1" applyBorder="1" applyAlignment="1">
      <alignment wrapText="1"/>
    </xf>
    <xf numFmtId="0" fontId="3" fillId="2" borderId="29" xfId="0" applyNumberFormat="1" applyFont="1" applyFill="1" applyBorder="1"/>
    <xf numFmtId="0" fontId="3" fillId="2" borderId="39" xfId="0" applyNumberFormat="1" applyFont="1" applyFill="1" applyBorder="1"/>
    <xf numFmtId="0" fontId="5" fillId="2" borderId="30" xfId="0" applyNumberFormat="1" applyFont="1" applyFill="1" applyBorder="1" applyAlignment="1">
      <alignment horizontal="left" vertical="top" wrapText="1"/>
    </xf>
    <xf numFmtId="0" fontId="3" fillId="2" borderId="29" xfId="0" applyNumberFormat="1" applyFont="1" applyFill="1" applyBorder="1" applyAlignment="1">
      <alignment horizontal="left" vertical="top"/>
    </xf>
    <xf numFmtId="0" fontId="3" fillId="2" borderId="39" xfId="0" applyNumberFormat="1" applyFont="1" applyFill="1" applyBorder="1" applyAlignment="1">
      <alignment horizontal="left" vertical="top"/>
    </xf>
    <xf numFmtId="0" fontId="3" fillId="2" borderId="32" xfId="0" applyNumberFormat="1" applyFont="1" applyFill="1" applyBorder="1"/>
    <xf numFmtId="0" fontId="3" fillId="2" borderId="19" xfId="0" applyNumberFormat="1" applyFont="1" applyFill="1" applyBorder="1" applyAlignment="1">
      <alignment wrapText="1"/>
    </xf>
    <xf numFmtId="3" fontId="3" fillId="0" borderId="19" xfId="0" applyNumberFormat="1" applyFont="1" applyBorder="1" applyAlignment="1" applyProtection="1">
      <alignment horizontal="center" vertical="center" wrapText="1"/>
    </xf>
    <xf numFmtId="0" fontId="3" fillId="2" borderId="19" xfId="0" applyNumberFormat="1" applyFont="1" applyFill="1" applyBorder="1" applyAlignment="1">
      <alignment horizontal="left" vertical="top"/>
    </xf>
    <xf numFmtId="3" fontId="3" fillId="0" borderId="60" xfId="0" applyNumberFormat="1" applyFont="1" applyBorder="1" applyAlignment="1" applyProtection="1">
      <alignment horizontal="center" vertical="center" wrapText="1"/>
    </xf>
    <xf numFmtId="3" fontId="3" fillId="0" borderId="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4" fillId="2" borderId="1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3" fontId="3" fillId="0" borderId="11" xfId="0" applyNumberFormat="1" applyFont="1" applyBorder="1" applyAlignment="1" applyProtection="1">
      <alignment horizontal="center" vertical="center" wrapText="1"/>
    </xf>
    <xf numFmtId="3" fontId="3" fillId="0" borderId="43" xfId="0" applyNumberFormat="1" applyFont="1" applyBorder="1" applyAlignment="1" applyProtection="1">
      <alignment horizontal="center" vertical="center" wrapText="1"/>
    </xf>
    <xf numFmtId="0" fontId="3" fillId="0" borderId="30" xfId="0" applyFont="1" applyFill="1" applyBorder="1" applyAlignment="1">
      <alignment vertical="top"/>
    </xf>
    <xf numFmtId="0" fontId="4" fillId="2" borderId="33" xfId="0" applyFont="1" applyFill="1" applyBorder="1" applyAlignment="1">
      <alignment horizontal="center" vertical="center" wrapText="1"/>
    </xf>
    <xf numFmtId="0" fontId="4" fillId="2" borderId="30" xfId="0" applyFont="1" applyFill="1" applyBorder="1" applyAlignment="1">
      <alignment horizontal="center" vertical="center" wrapText="1"/>
    </xf>
    <xf numFmtId="3" fontId="3" fillId="0" borderId="27" xfId="0" applyNumberFormat="1" applyFont="1" applyBorder="1" applyAlignment="1" applyProtection="1">
      <alignment horizontal="center" vertical="center" wrapText="1"/>
    </xf>
    <xf numFmtId="3" fontId="3" fillId="0" borderId="52" xfId="0" applyNumberFormat="1" applyFont="1" applyBorder="1" applyAlignment="1" applyProtection="1">
      <alignment horizontal="center" vertical="center" wrapText="1"/>
    </xf>
    <xf numFmtId="3" fontId="3" fillId="0" borderId="2" xfId="0" applyNumberFormat="1" applyFont="1" applyBorder="1" applyAlignment="1" applyProtection="1">
      <alignment horizontal="center" vertical="center" wrapText="1"/>
    </xf>
    <xf numFmtId="3" fontId="3" fillId="0" borderId="53" xfId="0" applyNumberFormat="1" applyFont="1" applyBorder="1" applyAlignment="1" applyProtection="1">
      <alignment horizontal="center" vertical="center" wrapText="1"/>
    </xf>
    <xf numFmtId="3" fontId="3" fillId="0" borderId="33" xfId="0" applyNumberFormat="1" applyFont="1" applyBorder="1" applyAlignment="1" applyProtection="1">
      <alignment horizontal="center" vertical="center" wrapText="1"/>
    </xf>
    <xf numFmtId="3" fontId="3" fillId="0" borderId="61" xfId="0" applyNumberFormat="1" applyFont="1" applyBorder="1" applyAlignment="1" applyProtection="1">
      <alignment horizontal="center" vertical="center" wrapText="1"/>
    </xf>
    <xf numFmtId="3" fontId="3" fillId="0" borderId="30" xfId="0" applyNumberFormat="1" applyFont="1" applyBorder="1" applyAlignment="1" applyProtection="1">
      <alignment horizontal="center" vertical="center" wrapText="1"/>
    </xf>
    <xf numFmtId="3" fontId="3" fillId="0" borderId="45" xfId="0" applyNumberFormat="1" applyFont="1" applyBorder="1" applyAlignment="1" applyProtection="1">
      <alignment horizontal="center" vertical="center" wrapText="1"/>
    </xf>
    <xf numFmtId="3" fontId="3" fillId="0" borderId="12" xfId="0" applyNumberFormat="1" applyFont="1" applyBorder="1" applyAlignment="1" applyProtection="1">
      <alignment horizontal="center" vertical="center" wrapText="1"/>
    </xf>
    <xf numFmtId="3" fontId="3" fillId="0" borderId="44" xfId="0" applyNumberFormat="1" applyFont="1" applyBorder="1" applyAlignment="1" applyProtection="1">
      <alignment horizontal="center" vertical="center" wrapText="1"/>
    </xf>
    <xf numFmtId="3" fontId="3" fillId="0" borderId="56" xfId="0" applyNumberFormat="1" applyFont="1" applyBorder="1" applyAlignment="1" applyProtection="1">
      <alignment horizontal="center" vertical="center" wrapText="1"/>
    </xf>
    <xf numFmtId="0" fontId="3" fillId="2" borderId="33" xfId="0" applyNumberFormat="1" applyFont="1" applyFill="1" applyBorder="1"/>
    <xf numFmtId="0" fontId="3" fillId="2" borderId="30" xfId="0" applyNumberFormat="1" applyFont="1" applyFill="1" applyBorder="1"/>
    <xf numFmtId="3" fontId="3" fillId="0" borderId="0" xfId="0" applyNumberFormat="1" applyFont="1" applyBorder="1" applyAlignment="1" applyProtection="1">
      <alignment horizontal="center" vertical="center" wrapText="1"/>
    </xf>
    <xf numFmtId="3" fontId="3" fillId="0" borderId="13" xfId="0" applyNumberFormat="1" applyFont="1" applyBorder="1" applyAlignment="1" applyProtection="1">
      <alignment horizontal="center" vertical="center" wrapText="1"/>
    </xf>
    <xf numFmtId="0" fontId="3" fillId="0" borderId="0" xfId="0" applyFont="1" applyFill="1"/>
    <xf numFmtId="3" fontId="3" fillId="0" borderId="9" xfId="0" applyNumberFormat="1" applyFont="1" applyBorder="1" applyAlignment="1" applyProtection="1">
      <alignment horizontal="left" vertical="top" wrapText="1"/>
      <protection locked="0"/>
    </xf>
    <xf numFmtId="0" fontId="7" fillId="0" borderId="0" xfId="0" applyFont="1" applyFill="1" applyAlignment="1">
      <alignment vertical="top"/>
    </xf>
    <xf numFmtId="0" fontId="4" fillId="0" borderId="0" xfId="0" applyFont="1"/>
    <xf numFmtId="49" fontId="16" fillId="0" borderId="1" xfId="0" applyNumberFormat="1" applyFont="1" applyBorder="1" applyProtection="1">
      <protection locked="0"/>
    </xf>
    <xf numFmtId="3" fontId="3" fillId="3" borderId="11" xfId="0" applyNumberFormat="1" applyFont="1" applyFill="1" applyBorder="1" applyAlignment="1">
      <alignment horizontal="center" vertical="center"/>
    </xf>
    <xf numFmtId="3" fontId="3" fillId="3" borderId="43" xfId="0" applyNumberFormat="1" applyFont="1" applyFill="1" applyBorder="1" applyAlignment="1" applyProtection="1">
      <alignment horizontal="center" vertical="center"/>
      <protection locked="0"/>
    </xf>
    <xf numFmtId="3" fontId="3" fillId="3" borderId="5" xfId="0" applyNumberFormat="1" applyFont="1" applyFill="1" applyBorder="1" applyAlignment="1" applyProtection="1">
      <alignment horizontal="center" vertical="center"/>
      <protection locked="0"/>
    </xf>
    <xf numFmtId="3" fontId="3" fillId="3" borderId="36" xfId="0" applyNumberFormat="1" applyFont="1" applyFill="1" applyBorder="1" applyAlignment="1" applyProtection="1">
      <alignment horizontal="center" vertical="center"/>
      <protection locked="0"/>
    </xf>
    <xf numFmtId="3" fontId="3" fillId="3" borderId="19"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8" xfId="0" applyNumberFormat="1" applyFont="1" applyFill="1" applyBorder="1" applyAlignment="1">
      <alignment horizontal="center" vertical="center"/>
    </xf>
    <xf numFmtId="3" fontId="3" fillId="3" borderId="7" xfId="0" applyNumberFormat="1" applyFont="1" applyFill="1" applyBorder="1" applyAlignment="1" applyProtection="1">
      <alignment horizontal="center" vertical="center"/>
      <protection locked="0"/>
    </xf>
    <xf numFmtId="3" fontId="3" fillId="3" borderId="1" xfId="0" applyNumberFormat="1" applyFont="1" applyFill="1" applyBorder="1" applyAlignment="1" applyProtection="1">
      <alignment horizontal="center" vertical="center"/>
      <protection locked="0"/>
    </xf>
    <xf numFmtId="3" fontId="3" fillId="3" borderId="9" xfId="0" applyNumberFormat="1" applyFont="1" applyFill="1" applyBorder="1" applyAlignment="1" applyProtection="1">
      <alignment horizontal="center" vertical="center"/>
      <protection locked="0"/>
    </xf>
    <xf numFmtId="3" fontId="3" fillId="3" borderId="38" xfId="0" applyNumberFormat="1" applyFont="1" applyFill="1" applyBorder="1" applyAlignment="1">
      <alignment horizontal="center" vertical="center"/>
    </xf>
    <xf numFmtId="3" fontId="3" fillId="3" borderId="35" xfId="0" applyNumberFormat="1" applyFont="1" applyFill="1" applyBorder="1" applyAlignment="1" applyProtection="1">
      <alignment horizontal="center" vertical="center"/>
      <protection locked="0"/>
    </xf>
    <xf numFmtId="3" fontId="3" fillId="3" borderId="4" xfId="0" applyNumberFormat="1" applyFont="1" applyFill="1" applyBorder="1" applyAlignment="1" applyProtection="1">
      <alignment horizontal="center" vertical="center"/>
      <protection locked="0"/>
    </xf>
    <xf numFmtId="3" fontId="3" fillId="3" borderId="10" xfId="0" applyNumberFormat="1" applyFont="1" applyFill="1" applyBorder="1" applyAlignment="1" applyProtection="1">
      <alignment horizontal="center" vertical="center"/>
      <protection locked="0"/>
    </xf>
    <xf numFmtId="3" fontId="3" fillId="3" borderId="34" xfId="0" applyNumberFormat="1" applyFont="1" applyFill="1" applyBorder="1" applyAlignment="1">
      <alignment horizontal="center" vertical="center"/>
    </xf>
    <xf numFmtId="3" fontId="3" fillId="3" borderId="30" xfId="0" applyNumberFormat="1" applyFont="1" applyFill="1" applyBorder="1" applyAlignment="1" applyProtection="1">
      <alignment horizontal="center" vertical="center"/>
    </xf>
    <xf numFmtId="3" fontId="3" fillId="3" borderId="29" xfId="0" applyNumberFormat="1" applyFont="1" applyFill="1" applyBorder="1" applyAlignment="1" applyProtection="1">
      <alignment horizontal="center" vertical="center"/>
    </xf>
    <xf numFmtId="3" fontId="3" fillId="3" borderId="39" xfId="0" applyNumberFormat="1" applyFont="1" applyFill="1" applyBorder="1" applyAlignment="1" applyProtection="1">
      <alignment horizontal="center" vertical="center"/>
    </xf>
    <xf numFmtId="3" fontId="3" fillId="3" borderId="56" xfId="0" applyNumberFormat="1" applyFont="1" applyFill="1" applyBorder="1" applyAlignment="1" applyProtection="1">
      <alignment horizontal="center" vertical="center"/>
    </xf>
    <xf numFmtId="3" fontId="3" fillId="3" borderId="28" xfId="0" applyNumberFormat="1" applyFont="1" applyFill="1" applyBorder="1" applyAlignment="1" applyProtection="1">
      <alignment horizontal="center" vertical="center"/>
    </xf>
    <xf numFmtId="3" fontId="3" fillId="3" borderId="57" xfId="0" applyNumberFormat="1" applyFont="1" applyFill="1" applyBorder="1" applyAlignment="1" applyProtection="1">
      <alignment horizontal="center" vertical="center"/>
    </xf>
    <xf numFmtId="49" fontId="16" fillId="0" borderId="1" xfId="0" applyNumberFormat="1" applyFont="1" applyBorder="1" applyAlignment="1">
      <alignment vertical="top"/>
    </xf>
    <xf numFmtId="14" fontId="10" fillId="0" borderId="1" xfId="0" applyNumberFormat="1" applyFont="1" applyBorder="1" applyAlignment="1" applyProtection="1">
      <alignment vertical="center"/>
      <protection locked="0"/>
    </xf>
    <xf numFmtId="3" fontId="3" fillId="3" borderId="34" xfId="0" applyNumberFormat="1" applyFont="1" applyFill="1" applyBorder="1" applyAlignment="1">
      <alignment horizontal="center" vertical="center"/>
    </xf>
    <xf numFmtId="3" fontId="3" fillId="3" borderId="28" xfId="0" applyNumberFormat="1" applyFont="1" applyFill="1" applyBorder="1" applyAlignment="1" applyProtection="1">
      <alignment horizontal="center" vertical="center"/>
      <protection locked="0"/>
    </xf>
    <xf numFmtId="3" fontId="3" fillId="3" borderId="57" xfId="0" applyNumberFormat="1"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1" fillId="0" borderId="0" xfId="0" applyFont="1"/>
    <xf numFmtId="0" fontId="0" fillId="11" borderId="1" xfId="0" applyFill="1" applyBorder="1"/>
    <xf numFmtId="0" fontId="1" fillId="11" borderId="1" xfId="0" applyFont="1" applyFill="1" applyBorder="1"/>
    <xf numFmtId="0" fontId="1" fillId="12" borderId="1" xfId="0" applyFont="1" applyFill="1" applyBorder="1"/>
    <xf numFmtId="0" fontId="0" fillId="12" borderId="1" xfId="0" applyFill="1" applyBorder="1"/>
    <xf numFmtId="3" fontId="3" fillId="3" borderId="56" xfId="0" applyNumberFormat="1" applyFont="1" applyFill="1" applyBorder="1" applyAlignment="1" applyProtection="1">
      <alignment horizontal="center" vertical="center"/>
      <protection locked="0"/>
    </xf>
    <xf numFmtId="3" fontId="3" fillId="3" borderId="61" xfId="0" applyNumberFormat="1" applyFont="1" applyFill="1" applyBorder="1" applyAlignment="1" applyProtection="1">
      <alignment horizontal="center" vertical="center"/>
      <protection locked="0"/>
    </xf>
    <xf numFmtId="3" fontId="18" fillId="11" borderId="40" xfId="0" applyNumberFormat="1" applyFont="1" applyFill="1" applyBorder="1" applyAlignment="1" applyProtection="1">
      <alignment horizontal="center" vertical="center"/>
      <protection locked="0"/>
    </xf>
    <xf numFmtId="3" fontId="18" fillId="11" borderId="19" xfId="0" applyNumberFormat="1" applyFont="1" applyFill="1" applyBorder="1" applyAlignment="1" applyProtection="1">
      <alignment horizontal="center" vertical="center"/>
      <protection locked="0"/>
    </xf>
    <xf numFmtId="3" fontId="0" fillId="5" borderId="14" xfId="0" applyNumberFormat="1" applyFill="1" applyBorder="1"/>
    <xf numFmtId="3" fontId="0" fillId="5" borderId="6" xfId="0" applyNumberFormat="1" applyFill="1" applyBorder="1"/>
    <xf numFmtId="3" fontId="0" fillId="5" borderId="58" xfId="0" applyNumberFormat="1" applyFill="1" applyBorder="1"/>
    <xf numFmtId="3" fontId="0" fillId="5" borderId="12" xfId="0" applyNumberFormat="1" applyFill="1" applyBorder="1"/>
    <xf numFmtId="3" fontId="0" fillId="5" borderId="1" xfId="0" applyNumberFormat="1" applyFill="1" applyBorder="1"/>
    <xf numFmtId="14" fontId="0" fillId="0" borderId="15" xfId="0" applyNumberFormat="1" applyBorder="1"/>
    <xf numFmtId="0" fontId="0" fillId="0" borderId="8" xfId="0" applyBorder="1"/>
    <xf numFmtId="0" fontId="0" fillId="0" borderId="0" xfId="0" applyAlignment="1">
      <alignment horizontal="left" vertical="center"/>
    </xf>
    <xf numFmtId="0" fontId="3" fillId="3" borderId="19" xfId="0" applyFont="1" applyFill="1" applyBorder="1" applyAlignment="1">
      <alignment vertical="top" wrapText="1"/>
    </xf>
    <xf numFmtId="0" fontId="3" fillId="2" borderId="39" xfId="0" applyNumberFormat="1" applyFont="1" applyFill="1" applyBorder="1" applyAlignment="1">
      <alignment horizontal="left" vertical="top" wrapText="1"/>
    </xf>
    <xf numFmtId="0" fontId="3" fillId="2" borderId="59" xfId="0" applyNumberFormat="1" applyFont="1" applyFill="1" applyBorder="1" applyAlignment="1">
      <alignment horizontal="left" vertical="top" wrapText="1"/>
    </xf>
    <xf numFmtId="49" fontId="18" fillId="11" borderId="30" xfId="0" applyNumberFormat="1" applyFont="1" applyFill="1" applyBorder="1" applyAlignment="1" applyProtection="1">
      <alignment horizontal="center" vertical="center" wrapText="1"/>
      <protection locked="0"/>
    </xf>
    <xf numFmtId="0" fontId="4" fillId="4" borderId="19"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3" xfId="0" applyNumberFormat="1"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3" xfId="0" applyNumberFormat="1" applyFont="1" applyFill="1" applyBorder="1" applyAlignment="1">
      <alignment horizontal="left" vertical="center" wrapText="1"/>
    </xf>
    <xf numFmtId="0" fontId="4" fillId="4" borderId="39" xfId="0" applyFont="1" applyFill="1" applyBorder="1" applyAlignment="1">
      <alignment horizontal="center" vertical="center" wrapText="1"/>
    </xf>
    <xf numFmtId="0" fontId="3" fillId="3" borderId="0" xfId="0" applyFont="1" applyFill="1" applyProtection="1"/>
    <xf numFmtId="1"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left" vertical="top" wrapText="1"/>
    </xf>
    <xf numFmtId="0" fontId="4" fillId="4" borderId="63" xfId="0" applyFont="1" applyFill="1" applyBorder="1" applyAlignment="1">
      <alignment horizontal="left" vertical="top"/>
    </xf>
    <xf numFmtId="0" fontId="4" fillId="4" borderId="65" xfId="0" applyFont="1" applyFill="1" applyBorder="1" applyAlignment="1">
      <alignment horizontal="left" vertical="top"/>
    </xf>
    <xf numFmtId="0" fontId="4" fillId="4" borderId="62" xfId="0" applyFont="1" applyFill="1" applyBorder="1" applyAlignment="1">
      <alignment horizontal="left" vertical="top"/>
    </xf>
    <xf numFmtId="0" fontId="4" fillId="4" borderId="69" xfId="0" applyFont="1" applyFill="1" applyBorder="1" applyAlignment="1">
      <alignment horizontal="left" vertical="top"/>
    </xf>
    <xf numFmtId="0" fontId="4" fillId="4" borderId="18" xfId="0" applyFont="1" applyFill="1" applyBorder="1" applyAlignment="1">
      <alignment horizontal="center" vertical="center" wrapText="1"/>
    </xf>
    <xf numFmtId="0" fontId="4" fillId="4" borderId="19" xfId="0" applyNumberFormat="1" applyFont="1" applyFill="1" applyBorder="1" applyAlignment="1">
      <alignment horizontal="left" vertical="center" wrapText="1"/>
    </xf>
    <xf numFmtId="3" fontId="3" fillId="3" borderId="70" xfId="0" applyNumberFormat="1" applyFont="1" applyFill="1" applyBorder="1" applyAlignment="1">
      <alignment horizontal="center" vertical="center"/>
    </xf>
    <xf numFmtId="3" fontId="3" fillId="3" borderId="32" xfId="0" applyNumberFormat="1" applyFont="1" applyFill="1" applyBorder="1" applyAlignment="1" applyProtection="1">
      <alignment horizontal="center" vertical="center"/>
    </xf>
    <xf numFmtId="0" fontId="0" fillId="11" borderId="1" xfId="0" quotePrefix="1" applyFill="1" applyBorder="1"/>
    <xf numFmtId="49" fontId="0" fillId="12" borderId="1" xfId="0" applyNumberFormat="1" applyFill="1" applyBorder="1"/>
    <xf numFmtId="0" fontId="20" fillId="0" borderId="0" xfId="0" applyFont="1"/>
    <xf numFmtId="3" fontId="0" fillId="0" borderId="0" xfId="0" applyNumberFormat="1"/>
    <xf numFmtId="3" fontId="3" fillId="3" borderId="0" xfId="0" applyNumberFormat="1" applyFont="1" applyFill="1"/>
    <xf numFmtId="3" fontId="0" fillId="5" borderId="67" xfId="0" applyNumberFormat="1" applyFill="1" applyBorder="1"/>
    <xf numFmtId="0" fontId="1" fillId="13" borderId="20" xfId="0" applyFont="1" applyFill="1" applyBorder="1"/>
    <xf numFmtId="0" fontId="1" fillId="13" borderId="44" xfId="0" applyFont="1" applyFill="1" applyBorder="1"/>
    <xf numFmtId="0" fontId="0" fillId="0" borderId="68" xfId="0" applyBorder="1"/>
    <xf numFmtId="0" fontId="1" fillId="0" borderId="8" xfId="0" applyFont="1" applyBorder="1"/>
    <xf numFmtId="14" fontId="1" fillId="0" borderId="15" xfId="0" applyNumberFormat="1" applyFont="1" applyBorder="1"/>
    <xf numFmtId="3" fontId="1" fillId="5" borderId="14" xfId="0" applyNumberFormat="1" applyFont="1" applyFill="1" applyBorder="1"/>
    <xf numFmtId="3" fontId="1" fillId="5" borderId="6" xfId="0" applyNumberFormat="1" applyFont="1" applyFill="1" applyBorder="1"/>
    <xf numFmtId="0" fontId="1" fillId="0" borderId="68" xfId="0" applyFont="1" applyBorder="1"/>
    <xf numFmtId="14" fontId="1" fillId="0" borderId="17" xfId="0" applyNumberFormat="1" applyFont="1" applyBorder="1"/>
    <xf numFmtId="0" fontId="3" fillId="0" borderId="0" xfId="0" applyFont="1" applyProtection="1"/>
    <xf numFmtId="0" fontId="4" fillId="0" borderId="0" xfId="0" applyFont="1" applyProtection="1"/>
    <xf numFmtId="0" fontId="8" fillId="0" borderId="0" xfId="0" applyFont="1" applyFill="1" applyAlignment="1" applyProtection="1">
      <alignment horizontal="left" vertical="top"/>
    </xf>
    <xf numFmtId="0" fontId="6" fillId="0" borderId="0" xfId="0" applyFont="1" applyFill="1" applyAlignment="1" applyProtection="1">
      <alignment horizontal="left" vertical="top"/>
    </xf>
    <xf numFmtId="0" fontId="4" fillId="2" borderId="29" xfId="0" applyFont="1" applyFill="1" applyBorder="1" applyAlignment="1" applyProtection="1">
      <alignment horizontal="left" vertical="top" wrapText="1"/>
    </xf>
    <xf numFmtId="0" fontId="3" fillId="0" borderId="0" xfId="0" applyFont="1" applyFill="1" applyBorder="1" applyProtection="1"/>
    <xf numFmtId="0" fontId="3" fillId="0" borderId="9" xfId="0" applyFont="1" applyBorder="1" applyAlignment="1" applyProtection="1">
      <alignment horizontal="left" vertical="top" wrapText="1"/>
    </xf>
    <xf numFmtId="0" fontId="3" fillId="0" borderId="9" xfId="0" applyFont="1" applyBorder="1" applyAlignment="1" applyProtection="1">
      <alignment vertical="top" wrapText="1"/>
    </xf>
    <xf numFmtId="0" fontId="3" fillId="0" borderId="30" xfId="0" applyFont="1" applyBorder="1" applyProtection="1">
      <protection locked="0"/>
    </xf>
    <xf numFmtId="0" fontId="3" fillId="0" borderId="27" xfId="0" applyFont="1" applyBorder="1" applyProtection="1">
      <protection locked="0"/>
    </xf>
    <xf numFmtId="0" fontId="5"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vertical="top"/>
      <protection locked="0"/>
    </xf>
    <xf numFmtId="0" fontId="3" fillId="2" borderId="39" xfId="0" applyFont="1" applyFill="1" applyBorder="1" applyAlignment="1" applyProtection="1">
      <alignment vertical="top"/>
      <protection locked="0"/>
    </xf>
    <xf numFmtId="0" fontId="3" fillId="2" borderId="32" xfId="0" applyFont="1" applyFill="1" applyBorder="1" applyAlignment="1" applyProtection="1">
      <alignment horizontal="left" vertical="top"/>
      <protection locked="0"/>
    </xf>
    <xf numFmtId="0" fontId="3" fillId="2" borderId="29" xfId="0" applyFont="1" applyFill="1" applyBorder="1" applyProtection="1">
      <protection locked="0"/>
    </xf>
    <xf numFmtId="0" fontId="3" fillId="2" borderId="33" xfId="0" applyFont="1" applyFill="1" applyBorder="1" applyProtection="1">
      <protection locked="0"/>
    </xf>
    <xf numFmtId="0" fontId="3" fillId="2" borderId="30" xfId="0" applyFont="1" applyFill="1" applyBorder="1" applyProtection="1">
      <protection locked="0"/>
    </xf>
    <xf numFmtId="0" fontId="3" fillId="2" borderId="39" xfId="0" applyFont="1" applyFill="1" applyBorder="1" applyProtection="1">
      <protection locked="0"/>
    </xf>
    <xf numFmtId="0" fontId="3" fillId="0" borderId="0" xfId="0" applyFont="1" applyProtection="1">
      <protection locked="0"/>
    </xf>
    <xf numFmtId="0" fontId="21" fillId="2" borderId="30" xfId="0" applyFont="1" applyFill="1" applyBorder="1" applyAlignment="1" applyProtection="1">
      <alignment horizontal="center" vertical="center" wrapText="1"/>
      <protection locked="0"/>
    </xf>
    <xf numFmtId="0" fontId="21" fillId="2" borderId="39" xfId="0" applyFont="1" applyFill="1" applyBorder="1" applyAlignment="1" applyProtection="1">
      <alignment horizontal="center" vertical="center" wrapText="1"/>
      <protection locked="0"/>
    </xf>
    <xf numFmtId="0" fontId="3" fillId="0" borderId="24" xfId="0" applyNumberFormat="1" applyFont="1" applyFill="1" applyBorder="1" applyAlignment="1">
      <alignment horizontal="left" vertical="top" wrapText="1"/>
    </xf>
    <xf numFmtId="0" fontId="3" fillId="0" borderId="9" xfId="0" applyNumberFormat="1" applyFont="1" applyFill="1" applyBorder="1" applyAlignment="1">
      <alignment horizontal="left" vertical="top" wrapText="1"/>
    </xf>
    <xf numFmtId="0" fontId="3" fillId="0" borderId="21" xfId="0" applyNumberFormat="1" applyFont="1" applyFill="1" applyBorder="1" applyAlignment="1">
      <alignment horizontal="left" vertical="top" wrapText="1"/>
    </xf>
    <xf numFmtId="0" fontId="0" fillId="0" borderId="0" xfId="0" applyProtection="1"/>
    <xf numFmtId="0" fontId="12" fillId="2" borderId="42" xfId="0" applyFont="1" applyFill="1" applyBorder="1" applyProtection="1"/>
    <xf numFmtId="0" fontId="12" fillId="0" borderId="0" xfId="0" applyFont="1" applyAlignment="1" applyProtection="1"/>
    <xf numFmtId="14" fontId="0" fillId="0" borderId="0" xfId="0" applyNumberFormat="1" applyProtection="1"/>
    <xf numFmtId="49" fontId="13" fillId="0" borderId="38" xfId="0" applyNumberFormat="1" applyFont="1" applyBorder="1" applyAlignment="1" applyProtection="1">
      <alignment vertical="top" wrapText="1"/>
    </xf>
    <xf numFmtId="49" fontId="13" fillId="0" borderId="19" xfId="0" applyNumberFormat="1" applyFont="1" applyBorder="1" applyAlignment="1" applyProtection="1">
      <alignment vertical="top" wrapText="1"/>
    </xf>
    <xf numFmtId="1" fontId="9" fillId="10" borderId="8" xfId="0" applyNumberFormat="1" applyFont="1" applyFill="1" applyBorder="1" applyAlignment="1" applyProtection="1">
      <alignment horizontal="center" vertical="center"/>
    </xf>
    <xf numFmtId="1" fontId="9" fillId="9" borderId="8" xfId="0" applyNumberFormat="1" applyFont="1" applyFill="1" applyBorder="1" applyAlignment="1" applyProtection="1">
      <alignment horizontal="center" vertical="center"/>
    </xf>
    <xf numFmtId="0" fontId="3" fillId="0" borderId="27" xfId="0" applyFont="1" applyFill="1" applyBorder="1" applyAlignment="1">
      <alignment wrapText="1"/>
    </xf>
    <xf numFmtId="0" fontId="3" fillId="0" borderId="0" xfId="0" applyFont="1" applyBorder="1"/>
    <xf numFmtId="0" fontId="0" fillId="0" borderId="0" xfId="0" applyFill="1"/>
    <xf numFmtId="0" fontId="1" fillId="15" borderId="0" xfId="0" applyFont="1" applyFill="1"/>
    <xf numFmtId="3" fontId="1" fillId="15" borderId="0" xfId="0" applyNumberFormat="1" applyFont="1" applyFill="1"/>
    <xf numFmtId="0" fontId="1" fillId="0" borderId="0" xfId="0" applyFont="1" applyFill="1"/>
    <xf numFmtId="0" fontId="3" fillId="0" borderId="0" xfId="0" applyFont="1" applyFill="1" applyProtection="1"/>
    <xf numFmtId="0" fontId="3" fillId="0" borderId="1" xfId="0" applyFont="1" applyFill="1" applyBorder="1" applyAlignment="1" applyProtection="1">
      <alignment horizontal="left" vertical="top" wrapText="1"/>
    </xf>
    <xf numFmtId="0" fontId="23" fillId="16" borderId="38" xfId="0" applyFont="1" applyFill="1" applyBorder="1" applyAlignment="1">
      <alignment horizontal="left" vertical="top" wrapText="1"/>
    </xf>
    <xf numFmtId="3" fontId="23" fillId="16" borderId="38" xfId="0" applyNumberFormat="1" applyFont="1" applyFill="1" applyBorder="1" applyAlignment="1">
      <alignment horizontal="center" vertical="center"/>
    </xf>
    <xf numFmtId="3" fontId="23" fillId="16" borderId="37" xfId="0" applyNumberFormat="1" applyFont="1" applyFill="1" applyBorder="1" applyAlignment="1" applyProtection="1">
      <alignment horizontal="center" vertical="center"/>
    </xf>
    <xf numFmtId="3" fontId="23" fillId="16" borderId="20" xfId="0" applyNumberFormat="1" applyFont="1" applyFill="1" applyBorder="1" applyAlignment="1" applyProtection="1">
      <alignment horizontal="center" vertical="center"/>
    </xf>
    <xf numFmtId="3" fontId="23" fillId="16" borderId="21" xfId="0" applyNumberFormat="1" applyFont="1" applyFill="1" applyBorder="1" applyAlignment="1" applyProtection="1">
      <alignment horizontal="center" vertical="center"/>
    </xf>
    <xf numFmtId="0" fontId="23" fillId="16" borderId="62" xfId="0" applyFont="1" applyFill="1" applyBorder="1" applyAlignment="1">
      <alignment horizontal="left" vertical="top" wrapText="1"/>
    </xf>
    <xf numFmtId="3" fontId="23" fillId="16" borderId="23" xfId="0" applyNumberFormat="1" applyFont="1" applyFill="1" applyBorder="1" applyAlignment="1">
      <alignment horizontal="center" vertical="center"/>
    </xf>
    <xf numFmtId="3" fontId="23" fillId="16" borderId="71" xfId="0" applyNumberFormat="1" applyFont="1" applyFill="1" applyBorder="1" applyAlignment="1" applyProtection="1">
      <alignment horizontal="center" vertical="center"/>
    </xf>
    <xf numFmtId="3" fontId="23" fillId="16" borderId="41" xfId="0" applyNumberFormat="1" applyFont="1" applyFill="1" applyBorder="1" applyAlignment="1" applyProtection="1">
      <alignment horizontal="center" vertical="center"/>
    </xf>
    <xf numFmtId="3" fontId="23" fillId="16" borderId="72" xfId="0" applyNumberFormat="1" applyFont="1" applyFill="1" applyBorder="1" applyAlignment="1" applyProtection="1">
      <alignment horizontal="center" vertical="center"/>
    </xf>
    <xf numFmtId="0" fontId="23" fillId="16" borderId="64" xfId="0" applyFont="1" applyFill="1" applyBorder="1" applyAlignment="1">
      <alignment horizontal="left" vertical="top" wrapText="1"/>
    </xf>
    <xf numFmtId="3" fontId="23" fillId="16" borderId="44" xfId="0" applyNumberFormat="1" applyFont="1" applyFill="1" applyBorder="1" applyAlignment="1" applyProtection="1">
      <alignment horizontal="center" vertical="center"/>
    </xf>
    <xf numFmtId="3" fontId="23" fillId="16" borderId="54" xfId="0" applyNumberFormat="1" applyFont="1" applyFill="1" applyBorder="1" applyAlignment="1" applyProtection="1">
      <alignment horizontal="center" vertical="center"/>
    </xf>
    <xf numFmtId="0" fontId="23" fillId="16" borderId="73" xfId="0" applyFont="1" applyFill="1" applyBorder="1" applyAlignment="1">
      <alignment horizontal="left" vertical="top" wrapText="1"/>
    </xf>
    <xf numFmtId="0" fontId="23" fillId="14" borderId="60" xfId="0" applyFont="1" applyFill="1" applyBorder="1" applyAlignment="1">
      <alignment horizontal="left" vertical="top" wrapText="1"/>
    </xf>
    <xf numFmtId="3" fontId="23" fillId="14" borderId="60" xfId="0" applyNumberFormat="1" applyFont="1" applyFill="1" applyBorder="1" applyAlignment="1">
      <alignment horizontal="center" vertical="center"/>
    </xf>
    <xf numFmtId="3" fontId="23" fillId="14" borderId="31" xfId="0" applyNumberFormat="1" applyFont="1" applyFill="1" applyBorder="1" applyAlignment="1" applyProtection="1">
      <alignment horizontal="center" vertical="center"/>
    </xf>
    <xf numFmtId="3" fontId="23" fillId="14" borderId="22" xfId="0" applyNumberFormat="1" applyFont="1" applyFill="1" applyBorder="1" applyAlignment="1" applyProtection="1">
      <alignment horizontal="center" vertical="center"/>
    </xf>
    <xf numFmtId="3" fontId="23" fillId="14" borderId="24" xfId="0" applyNumberFormat="1" applyFont="1" applyFill="1" applyBorder="1" applyAlignment="1" applyProtection="1">
      <alignment horizontal="center" vertical="center"/>
    </xf>
    <xf numFmtId="0" fontId="23" fillId="14" borderId="63" xfId="0" applyFont="1" applyFill="1" applyBorder="1" applyAlignment="1">
      <alignment horizontal="left" vertical="top" wrapText="1"/>
    </xf>
    <xf numFmtId="3" fontId="23" fillId="14" borderId="45" xfId="0" applyNumberFormat="1" applyFont="1" applyFill="1" applyBorder="1" applyAlignment="1" applyProtection="1">
      <alignment horizontal="center" vertical="center"/>
    </xf>
    <xf numFmtId="3" fontId="23" fillId="14" borderId="42" xfId="0" applyNumberFormat="1" applyFont="1" applyFill="1" applyBorder="1" applyAlignment="1" applyProtection="1">
      <alignment horizontal="center" vertical="center"/>
    </xf>
    <xf numFmtId="0" fontId="23" fillId="14" borderId="19" xfId="0" applyFont="1" applyFill="1" applyBorder="1" applyAlignment="1">
      <alignment horizontal="left" vertical="top" wrapText="1"/>
    </xf>
    <xf numFmtId="3" fontId="23" fillId="14" borderId="19" xfId="0" applyNumberFormat="1" applyFont="1" applyFill="1" applyBorder="1" applyAlignment="1">
      <alignment horizontal="center" vertical="center"/>
    </xf>
    <xf numFmtId="3" fontId="23" fillId="14" borderId="32" xfId="0" applyNumberFormat="1" applyFont="1" applyFill="1" applyBorder="1" applyAlignment="1">
      <alignment horizontal="center" vertical="center"/>
    </xf>
    <xf numFmtId="3" fontId="23" fillId="14" borderId="39" xfId="0" applyNumberFormat="1" applyFont="1" applyFill="1" applyBorder="1" applyAlignment="1">
      <alignment horizontal="center" vertical="center"/>
    </xf>
    <xf numFmtId="3" fontId="23" fillId="14" borderId="30" xfId="0" applyNumberFormat="1" applyFont="1" applyFill="1" applyBorder="1" applyAlignment="1" applyProtection="1">
      <alignment horizontal="center" vertical="center"/>
    </xf>
    <xf numFmtId="3" fontId="23" fillId="14" borderId="29" xfId="0" applyNumberFormat="1" applyFont="1" applyFill="1" applyBorder="1" applyAlignment="1" applyProtection="1">
      <alignment horizontal="center" vertical="center"/>
    </xf>
    <xf numFmtId="3" fontId="23" fillId="14" borderId="39" xfId="0" applyNumberFormat="1" applyFont="1" applyFill="1" applyBorder="1" applyAlignment="1" applyProtection="1">
      <alignment horizontal="center" vertical="center"/>
    </xf>
    <xf numFmtId="0" fontId="23" fillId="14" borderId="25" xfId="0" applyFont="1" applyFill="1" applyBorder="1" applyAlignment="1">
      <alignment vertical="top" wrapText="1"/>
    </xf>
    <xf numFmtId="3" fontId="23" fillId="14" borderId="32" xfId="0" applyNumberFormat="1" applyFont="1" applyFill="1" applyBorder="1" applyAlignment="1" applyProtection="1">
      <alignment horizontal="center" vertical="center"/>
    </xf>
    <xf numFmtId="0" fontId="23" fillId="14" borderId="19" xfId="0" applyFont="1" applyFill="1" applyBorder="1" applyAlignment="1" applyProtection="1">
      <alignment horizontal="left" vertical="top" wrapText="1"/>
    </xf>
    <xf numFmtId="3" fontId="23" fillId="14" borderId="19" xfId="0" applyNumberFormat="1" applyFont="1" applyFill="1" applyBorder="1" applyAlignment="1" applyProtection="1">
      <alignment horizontal="center" vertical="center"/>
    </xf>
    <xf numFmtId="3" fontId="23" fillId="14" borderId="26" xfId="0" applyNumberFormat="1" applyFont="1" applyFill="1" applyBorder="1" applyAlignment="1">
      <alignment horizontal="center" vertical="center"/>
    </xf>
    <xf numFmtId="0" fontId="23" fillId="14" borderId="25" xfId="0" applyFont="1" applyFill="1" applyBorder="1" applyAlignment="1">
      <alignment horizontal="left" vertical="top" wrapText="1"/>
    </xf>
    <xf numFmtId="49" fontId="16" fillId="0" borderId="9" xfId="0" applyNumberFormat="1" applyFont="1" applyFill="1" applyBorder="1" applyProtection="1"/>
    <xf numFmtId="14" fontId="10" fillId="0" borderId="21" xfId="0" applyNumberFormat="1" applyFont="1" applyFill="1" applyBorder="1" applyAlignment="1" applyProtection="1">
      <alignment horizontal="left" vertical="center"/>
      <protection locked="0"/>
    </xf>
    <xf numFmtId="0" fontId="4" fillId="0" borderId="19" xfId="0" applyFont="1" applyBorder="1" applyAlignment="1" applyProtection="1">
      <alignment horizontal="left" vertical="top"/>
    </xf>
    <xf numFmtId="0" fontId="3" fillId="0" borderId="60" xfId="0" applyFont="1" applyBorder="1" applyAlignment="1" applyProtection="1">
      <alignment horizontal="left" vertical="top"/>
    </xf>
    <xf numFmtId="0" fontId="3" fillId="0" borderId="22" xfId="0" applyFont="1" applyFill="1" applyBorder="1" applyAlignment="1" applyProtection="1">
      <alignment horizontal="left" vertical="top" wrapText="1"/>
    </xf>
    <xf numFmtId="0" fontId="3" fillId="0" borderId="24" xfId="0" applyFont="1" applyBorder="1" applyAlignment="1" applyProtection="1">
      <alignment horizontal="left" vertical="top" wrapText="1"/>
    </xf>
    <xf numFmtId="3" fontId="3" fillId="0" borderId="24" xfId="0" applyNumberFormat="1" applyFont="1" applyBorder="1" applyAlignment="1" applyProtection="1">
      <alignment horizontal="left" vertical="top" wrapText="1"/>
      <protection locked="0"/>
    </xf>
    <xf numFmtId="0" fontId="3" fillId="0" borderId="8" xfId="0" applyFont="1" applyBorder="1" applyAlignment="1" applyProtection="1">
      <alignment horizontal="left" vertical="top"/>
    </xf>
    <xf numFmtId="0" fontId="3" fillId="0" borderId="38" xfId="0" applyFont="1" applyBorder="1" applyAlignment="1" applyProtection="1">
      <alignment horizontal="left" vertical="top"/>
    </xf>
    <xf numFmtId="0" fontId="3" fillId="0" borderId="20" xfId="0" applyFont="1" applyFill="1" applyBorder="1" applyAlignment="1" applyProtection="1">
      <alignment horizontal="left" vertical="top" wrapText="1"/>
    </xf>
    <xf numFmtId="0" fontId="3" fillId="0" borderId="21" xfId="0" applyFont="1" applyBorder="1" applyAlignment="1" applyProtection="1">
      <alignment horizontal="left" vertical="top" wrapText="1"/>
    </xf>
    <xf numFmtId="3" fontId="3" fillId="0" borderId="21" xfId="0" applyNumberFormat="1" applyFont="1" applyBorder="1" applyAlignment="1" applyProtection="1">
      <alignment horizontal="left" vertical="top" wrapText="1"/>
      <protection locked="0"/>
    </xf>
    <xf numFmtId="0" fontId="15" fillId="10" borderId="0" xfId="0" applyFont="1" applyFill="1" applyAlignment="1">
      <alignment horizontal="left"/>
    </xf>
    <xf numFmtId="0" fontId="3" fillId="2" borderId="66" xfId="0" applyFont="1" applyFill="1" applyBorder="1" applyAlignment="1">
      <alignment vertical="top" wrapText="1"/>
    </xf>
    <xf numFmtId="0" fontId="3" fillId="2" borderId="62" xfId="0" applyFont="1" applyFill="1" applyBorder="1" applyAlignment="1">
      <alignment vertical="top" wrapText="1"/>
    </xf>
    <xf numFmtId="0" fontId="3" fillId="2" borderId="49" xfId="0" applyFont="1" applyFill="1" applyBorder="1" applyAlignment="1">
      <alignment vertical="top" wrapText="1"/>
    </xf>
    <xf numFmtId="0" fontId="3" fillId="2" borderId="50" xfId="0" applyFont="1" applyFill="1" applyBorder="1" applyAlignment="1">
      <alignment vertical="top" wrapText="1"/>
    </xf>
    <xf numFmtId="49" fontId="18" fillId="11" borderId="36" xfId="0" applyNumberFormat="1" applyFont="1" applyFill="1" applyBorder="1" applyAlignment="1" applyProtection="1">
      <alignment horizontal="center" vertical="center" wrapText="1"/>
      <protection locked="0"/>
    </xf>
    <xf numFmtId="0" fontId="0" fillId="2" borderId="34" xfId="0" applyFill="1" applyBorder="1" applyAlignment="1">
      <alignment vertical="center"/>
    </xf>
    <xf numFmtId="0" fontId="0" fillId="2" borderId="23" xfId="0" applyFill="1" applyBorder="1"/>
    <xf numFmtId="0" fontId="3" fillId="10" borderId="0" xfId="0" applyFont="1" applyFill="1"/>
    <xf numFmtId="0" fontId="25" fillId="3" borderId="0" xfId="0" applyFont="1" applyFill="1"/>
    <xf numFmtId="0" fontId="4" fillId="3" borderId="0" xfId="0" applyFont="1" applyFill="1" applyBorder="1" applyAlignment="1">
      <alignment horizontal="center" vertical="center" wrapText="1"/>
    </xf>
    <xf numFmtId="0" fontId="17" fillId="3" borderId="0" xfId="0" applyNumberFormat="1" applyFont="1" applyFill="1" applyBorder="1" applyAlignment="1" applyProtection="1">
      <alignment horizontal="center" vertical="center"/>
    </xf>
    <xf numFmtId="14" fontId="0" fillId="0" borderId="17" xfId="0" applyNumberFormat="1" applyFont="1" applyBorder="1"/>
    <xf numFmtId="0" fontId="1" fillId="5" borderId="6" xfId="0" applyFont="1" applyFill="1" applyBorder="1"/>
    <xf numFmtId="0" fontId="0" fillId="5" borderId="14" xfId="0" applyFill="1" applyBorder="1"/>
    <xf numFmtId="0" fontId="0" fillId="5" borderId="12" xfId="0" applyFill="1" applyBorder="1"/>
    <xf numFmtId="0" fontId="0" fillId="5" borderId="6" xfId="0" applyFill="1" applyBorder="1"/>
    <xf numFmtId="0" fontId="0" fillId="5" borderId="58" xfId="0" applyFill="1" applyBorder="1"/>
    <xf numFmtId="0" fontId="0" fillId="5" borderId="1" xfId="0" applyFill="1" applyBorder="1"/>
    <xf numFmtId="0" fontId="0" fillId="0" borderId="0" xfId="0" applyAlignment="1">
      <alignment horizontal="left"/>
    </xf>
    <xf numFmtId="49" fontId="0" fillId="12" borderId="1" xfId="0" applyNumberFormat="1" applyFill="1" applyBorder="1" applyAlignment="1">
      <alignment horizontal="left"/>
    </xf>
    <xf numFmtId="49" fontId="0" fillId="12" borderId="1" xfId="0" applyNumberFormat="1" applyFill="1" applyBorder="1" applyAlignment="1"/>
    <xf numFmtId="0" fontId="21" fillId="2" borderId="57" xfId="0" applyFont="1" applyFill="1" applyBorder="1" applyAlignment="1" applyProtection="1">
      <alignment horizontal="center" vertical="center" wrapText="1"/>
      <protection locked="0"/>
    </xf>
    <xf numFmtId="1" fontId="9" fillId="8" borderId="69" xfId="0" applyNumberFormat="1" applyFont="1" applyFill="1" applyBorder="1" applyAlignment="1" applyProtection="1">
      <alignment horizontal="center" vertical="center"/>
    </xf>
    <xf numFmtId="1" fontId="9" fillId="6" borderId="65" xfId="0" applyNumberFormat="1" applyFont="1" applyFill="1" applyBorder="1" applyAlignment="1" applyProtection="1">
      <alignment horizontal="center" vertical="center"/>
    </xf>
    <xf numFmtId="0" fontId="3" fillId="0" borderId="27" xfId="0" applyFont="1" applyBorder="1" applyAlignment="1">
      <alignment horizontal="left" vertical="top"/>
    </xf>
    <xf numFmtId="0" fontId="3" fillId="0" borderId="13" xfId="0" applyNumberFormat="1" applyFont="1" applyBorder="1" applyAlignment="1">
      <alignment horizontal="left" vertical="top" wrapText="1"/>
    </xf>
    <xf numFmtId="0" fontId="3" fillId="3" borderId="3"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4" xfId="0" applyFont="1" applyFill="1" applyBorder="1" applyAlignment="1" applyProtection="1">
      <alignment horizontal="left" vertical="top" wrapText="1"/>
    </xf>
    <xf numFmtId="3" fontId="3" fillId="3" borderId="39" xfId="0" applyNumberFormat="1" applyFont="1" applyFill="1" applyBorder="1" applyAlignment="1" applyProtection="1">
      <alignment horizontal="center" vertical="center"/>
      <protection locked="0"/>
    </xf>
    <xf numFmtId="3" fontId="3" fillId="3" borderId="29" xfId="0" applyNumberFormat="1" applyFont="1" applyFill="1" applyBorder="1" applyAlignment="1" applyProtection="1">
      <alignment horizontal="center" vertical="center"/>
      <protection locked="0"/>
    </xf>
    <xf numFmtId="3" fontId="3" fillId="3" borderId="30" xfId="0" applyNumberFormat="1" applyFont="1" applyFill="1" applyBorder="1" applyAlignment="1" applyProtection="1">
      <alignment horizontal="center" vertical="center"/>
      <protection locked="0"/>
    </xf>
    <xf numFmtId="0" fontId="28" fillId="7" borderId="19" xfId="0" applyFont="1" applyFill="1" applyBorder="1" applyAlignment="1" applyProtection="1">
      <alignment horizontal="left" vertical="top" wrapText="1"/>
    </xf>
    <xf numFmtId="0" fontId="29" fillId="0" borderId="1" xfId="0" applyFont="1" applyFill="1" applyBorder="1" applyAlignment="1">
      <alignment vertical="top"/>
    </xf>
    <xf numFmtId="0" fontId="4" fillId="3" borderId="66" xfId="0" applyFont="1" applyFill="1" applyBorder="1" applyAlignment="1">
      <alignment horizontal="left" vertical="center" wrapText="1"/>
    </xf>
    <xf numFmtId="0" fontId="21" fillId="4" borderId="30"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4" xfId="0" applyFont="1" applyFill="1" applyBorder="1" applyAlignment="1">
      <alignment horizontal="center" vertical="center" wrapText="1"/>
    </xf>
    <xf numFmtId="3" fontId="21" fillId="4" borderId="19"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vertical="top"/>
    </xf>
    <xf numFmtId="0" fontId="4" fillId="4" borderId="23" xfId="0" applyNumberFormat="1" applyFont="1" applyFill="1" applyBorder="1" applyAlignment="1" applyProtection="1">
      <alignment horizontal="left" vertical="center" wrapText="1"/>
    </xf>
    <xf numFmtId="0" fontId="4" fillId="4" borderId="23" xfId="0" applyFont="1" applyFill="1" applyBorder="1" applyAlignment="1" applyProtection="1">
      <alignment horizontal="center" vertical="center" wrapText="1"/>
    </xf>
    <xf numFmtId="0" fontId="4" fillId="4" borderId="41"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17" xfId="0" applyFont="1" applyFill="1" applyBorder="1" applyAlignment="1" applyProtection="1">
      <alignment horizontal="center" vertical="center" wrapText="1"/>
    </xf>
    <xf numFmtId="3" fontId="21" fillId="4" borderId="19" xfId="0" applyNumberFormat="1" applyFont="1" applyFill="1" applyBorder="1" applyAlignment="1" applyProtection="1">
      <alignment horizontal="center" vertical="center" wrapText="1"/>
    </xf>
    <xf numFmtId="0" fontId="23" fillId="14" borderId="63" xfId="0" applyFont="1" applyFill="1" applyBorder="1" applyAlignment="1" applyProtection="1">
      <alignment horizontal="left" vertical="top" wrapText="1"/>
    </xf>
    <xf numFmtId="0" fontId="23" fillId="16" borderId="64" xfId="0" applyFont="1" applyFill="1" applyBorder="1" applyAlignment="1" applyProtection="1">
      <alignment horizontal="left" vertical="top" wrapText="1"/>
    </xf>
    <xf numFmtId="0" fontId="4" fillId="4" borderId="69" xfId="0" applyFont="1" applyFill="1" applyBorder="1" applyAlignment="1" applyProtection="1">
      <alignment horizontal="left" vertical="top"/>
    </xf>
    <xf numFmtId="0" fontId="4" fillId="4" borderId="65" xfId="0" applyFont="1" applyFill="1" applyBorder="1" applyAlignment="1" applyProtection="1">
      <alignment horizontal="left" vertical="top"/>
    </xf>
    <xf numFmtId="0" fontId="4" fillId="4" borderId="62" xfId="0" applyFont="1" applyFill="1" applyBorder="1" applyAlignment="1" applyProtection="1">
      <alignment horizontal="left" vertical="top"/>
    </xf>
    <xf numFmtId="0" fontId="1" fillId="13" borderId="37" xfId="0" applyFont="1" applyFill="1" applyBorder="1"/>
    <xf numFmtId="3" fontId="3" fillId="0" borderId="2" xfId="0" applyNumberFormat="1" applyFont="1" applyBorder="1" applyAlignment="1" applyProtection="1">
      <alignment horizontal="left" vertical="top" wrapText="1"/>
      <protection locked="0"/>
    </xf>
    <xf numFmtId="3" fontId="3" fillId="0" borderId="52" xfId="0" applyNumberFormat="1" applyFont="1" applyBorder="1" applyAlignment="1" applyProtection="1">
      <alignment horizontal="left" vertical="top" wrapText="1"/>
      <protection locked="0"/>
    </xf>
    <xf numFmtId="3" fontId="3" fillId="0" borderId="10" xfId="0" applyNumberFormat="1" applyFont="1" applyBorder="1" applyAlignment="1" applyProtection="1">
      <alignment horizontal="left" vertical="top" wrapText="1"/>
      <protection locked="0"/>
    </xf>
    <xf numFmtId="3" fontId="3" fillId="0" borderId="53" xfId="0" applyNumberFormat="1" applyFont="1" applyBorder="1" applyAlignment="1" applyProtection="1">
      <alignment horizontal="left" vertical="top" wrapText="1"/>
      <protection locked="0"/>
    </xf>
    <xf numFmtId="0" fontId="4" fillId="2" borderId="33" xfId="0" applyFont="1" applyFill="1" applyBorder="1" applyAlignment="1" applyProtection="1">
      <alignment horizontal="left" vertical="top" wrapText="1"/>
    </xf>
    <xf numFmtId="0" fontId="21" fillId="2" borderId="30" xfId="0" applyFont="1" applyFill="1" applyBorder="1" applyAlignment="1">
      <alignment horizontal="center" vertical="center" wrapText="1"/>
    </xf>
    <xf numFmtId="14" fontId="11" fillId="3" borderId="19" xfId="0" applyNumberFormat="1" applyFont="1" applyFill="1" applyBorder="1" applyAlignment="1" applyProtection="1">
      <alignment horizontal="left" vertical="center" wrapText="1"/>
      <protection locked="0"/>
    </xf>
    <xf numFmtId="49" fontId="26" fillId="0" borderId="66" xfId="2" applyNumberFormat="1" applyFont="1" applyBorder="1" applyAlignment="1" applyProtection="1">
      <alignment vertical="top" wrapText="1"/>
      <protection locked="0"/>
    </xf>
    <xf numFmtId="49" fontId="27" fillId="0" borderId="49" xfId="0" applyNumberFormat="1" applyFont="1" applyBorder="1" applyAlignment="1" applyProtection="1">
      <alignment vertical="top" wrapText="1"/>
      <protection locked="0"/>
    </xf>
    <xf numFmtId="49" fontId="27" fillId="0" borderId="36" xfId="0" applyNumberFormat="1" applyFont="1" applyBorder="1" applyAlignment="1" applyProtection="1">
      <alignment vertical="top" wrapText="1"/>
      <protection locked="0"/>
    </xf>
    <xf numFmtId="49" fontId="26" fillId="0" borderId="15" xfId="2" applyNumberFormat="1" applyFont="1" applyBorder="1" applyAlignment="1" applyProtection="1">
      <alignment horizontal="left" vertical="top" wrapText="1"/>
      <protection locked="0"/>
    </xf>
    <xf numFmtId="49" fontId="11" fillId="0" borderId="40" xfId="0" applyNumberFormat="1" applyFont="1" applyBorder="1" applyProtection="1">
      <protection locked="0"/>
    </xf>
    <xf numFmtId="0" fontId="3" fillId="2" borderId="66" xfId="0" applyFont="1" applyFill="1" applyBorder="1" applyAlignment="1"/>
    <xf numFmtId="0" fontId="3" fillId="2" borderId="49" xfId="0" applyFont="1" applyFill="1" applyBorder="1" applyAlignment="1"/>
    <xf numFmtId="0" fontId="3" fillId="2" borderId="36" xfId="0" applyFont="1" applyFill="1" applyBorder="1" applyAlignment="1"/>
    <xf numFmtId="0" fontId="3" fillId="2" borderId="62" xfId="0" applyFont="1" applyFill="1" applyBorder="1" applyAlignment="1"/>
    <xf numFmtId="0" fontId="3" fillId="2" borderId="50" xfId="0" applyFont="1" applyFill="1" applyBorder="1" applyAlignment="1"/>
    <xf numFmtId="0" fontId="3" fillId="2" borderId="40" xfId="0" applyFont="1" applyFill="1" applyBorder="1" applyAlignment="1"/>
    <xf numFmtId="49" fontId="18" fillId="2" borderId="62" xfId="0" applyNumberFormat="1" applyFont="1" applyFill="1" applyBorder="1" applyAlignment="1" applyProtection="1">
      <alignment vertical="center"/>
      <protection locked="0"/>
    </xf>
    <xf numFmtId="49" fontId="18" fillId="2" borderId="40" xfId="0" applyNumberFormat="1" applyFont="1" applyFill="1" applyBorder="1" applyAlignment="1" applyProtection="1">
      <alignment vertical="center"/>
      <protection locked="0"/>
    </xf>
    <xf numFmtId="0" fontId="23" fillId="14" borderId="64" xfId="0" applyFont="1" applyFill="1" applyBorder="1" applyAlignment="1">
      <alignment horizontal="left" vertical="top" wrapText="1"/>
    </xf>
    <xf numFmtId="3" fontId="23" fillId="14" borderId="38" xfId="0" applyNumberFormat="1" applyFont="1" applyFill="1" applyBorder="1" applyAlignment="1">
      <alignment horizontal="center" vertical="center"/>
    </xf>
    <xf numFmtId="3" fontId="23" fillId="14" borderId="20" xfId="0" applyNumberFormat="1" applyFont="1" applyFill="1" applyBorder="1" applyAlignment="1" applyProtection="1">
      <alignment horizontal="center" vertical="center"/>
    </xf>
    <xf numFmtId="3" fontId="23" fillId="14" borderId="21" xfId="0" applyNumberFormat="1" applyFont="1" applyFill="1" applyBorder="1" applyAlignment="1" applyProtection="1">
      <alignment horizontal="center" vertical="center"/>
    </xf>
    <xf numFmtId="0" fontId="1" fillId="5" borderId="14" xfId="0" applyFont="1" applyFill="1" applyBorder="1"/>
    <xf numFmtId="0" fontId="25" fillId="0" borderId="0" xfId="0" applyFont="1" applyAlignment="1">
      <alignment horizontal="left" vertical="top" wrapText="1"/>
    </xf>
    <xf numFmtId="3" fontId="3" fillId="2" borderId="29" xfId="0" applyNumberFormat="1" applyFont="1" applyFill="1" applyBorder="1" applyAlignment="1" applyProtection="1">
      <alignment horizontal="center" vertical="center" wrapText="1"/>
    </xf>
    <xf numFmtId="49" fontId="18" fillId="2" borderId="66" xfId="0" applyNumberFormat="1" applyFont="1" applyFill="1" applyBorder="1" applyAlignment="1" applyProtection="1">
      <alignment vertical="center"/>
    </xf>
    <xf numFmtId="49" fontId="18" fillId="2" borderId="36" xfId="0" applyNumberFormat="1" applyFont="1" applyFill="1" applyBorder="1" applyAlignment="1" applyProtection="1">
      <alignment vertical="center"/>
    </xf>
    <xf numFmtId="49" fontId="18" fillId="2" borderId="62" xfId="0" applyNumberFormat="1" applyFont="1" applyFill="1" applyBorder="1" applyAlignment="1" applyProtection="1">
      <alignment vertical="center"/>
    </xf>
    <xf numFmtId="49" fontId="18" fillId="2" borderId="40" xfId="0" applyNumberFormat="1" applyFont="1" applyFill="1" applyBorder="1" applyAlignment="1" applyProtection="1">
      <alignment vertical="center"/>
    </xf>
    <xf numFmtId="3"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xf>
    <xf numFmtId="0" fontId="1" fillId="13" borderId="21" xfId="0" applyFont="1" applyFill="1" applyBorder="1"/>
    <xf numFmtId="3" fontId="1" fillId="5" borderId="68" xfId="0" applyNumberFormat="1" applyFont="1" applyFill="1" applyBorder="1"/>
    <xf numFmtId="0" fontId="0" fillId="0" borderId="38" xfId="0" applyBorder="1"/>
    <xf numFmtId="14" fontId="0" fillId="0" borderId="40" xfId="0" applyNumberFormat="1" applyFont="1" applyBorder="1"/>
    <xf numFmtId="0" fontId="0" fillId="5" borderId="44" xfId="0" applyFill="1" applyBorder="1"/>
    <xf numFmtId="0" fontId="0" fillId="5" borderId="41" xfId="0" applyFill="1" applyBorder="1"/>
    <xf numFmtId="3" fontId="0" fillId="5" borderId="41" xfId="0" applyNumberFormat="1" applyFill="1" applyBorder="1"/>
    <xf numFmtId="3" fontId="0" fillId="5" borderId="72" xfId="0" applyNumberFormat="1" applyFill="1" applyBorder="1"/>
    <xf numFmtId="0" fontId="0" fillId="5" borderId="72" xfId="0" applyFill="1" applyBorder="1"/>
    <xf numFmtId="3" fontId="0" fillId="5" borderId="44" xfId="0" applyNumberFormat="1" applyFill="1" applyBorder="1"/>
    <xf numFmtId="3" fontId="0" fillId="5" borderId="20" xfId="0" applyNumberFormat="1" applyFill="1" applyBorder="1"/>
    <xf numFmtId="0" fontId="0" fillId="5" borderId="20" xfId="0" applyFill="1" applyBorder="1"/>
    <xf numFmtId="14" fontId="0" fillId="0" borderId="54" xfId="0" applyNumberFormat="1" applyBorder="1"/>
    <xf numFmtId="0" fontId="0" fillId="0" borderId="74" xfId="0" applyBorder="1"/>
    <xf numFmtId="49" fontId="26" fillId="0" borderId="65" xfId="2" applyNumberFormat="1" applyFont="1" applyBorder="1" applyAlignment="1" applyProtection="1">
      <alignment horizontal="left" vertical="top"/>
      <protection locked="0"/>
    </xf>
    <xf numFmtId="49" fontId="26" fillId="0" borderId="3" xfId="2" applyNumberFormat="1" applyFont="1" applyBorder="1" applyAlignment="1" applyProtection="1">
      <alignment horizontal="left" vertical="top"/>
      <protection locked="0"/>
    </xf>
    <xf numFmtId="1" fontId="9" fillId="9" borderId="38" xfId="0" applyNumberFormat="1" applyFont="1" applyFill="1" applyBorder="1" applyAlignment="1" applyProtection="1">
      <alignment horizontal="center" vertical="center"/>
    </xf>
    <xf numFmtId="0" fontId="28" fillId="7" borderId="30" xfId="0" applyFont="1" applyFill="1" applyBorder="1" applyAlignment="1" applyProtection="1">
      <alignment horizontal="left" vertical="top" wrapText="1"/>
    </xf>
    <xf numFmtId="0" fontId="28" fillId="7" borderId="29" xfId="0" applyFont="1" applyFill="1" applyBorder="1" applyAlignment="1" applyProtection="1">
      <alignment horizontal="left" vertical="top" wrapText="1"/>
    </xf>
    <xf numFmtId="0" fontId="28" fillId="7" borderId="39" xfId="0" applyFont="1" applyFill="1" applyBorder="1" applyAlignment="1" applyProtection="1">
      <alignment horizontal="left" vertical="top" wrapText="1"/>
    </xf>
    <xf numFmtId="0" fontId="14" fillId="8" borderId="0" xfId="0" applyFont="1" applyFill="1" applyAlignment="1" applyProtection="1">
      <alignment horizontal="left" vertical="top"/>
    </xf>
    <xf numFmtId="0" fontId="12" fillId="2" borderId="63"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2" fillId="2" borderId="63" xfId="0" applyFont="1" applyFill="1" applyBorder="1" applyAlignment="1" applyProtection="1">
      <alignment horizontal="left" vertical="center" wrapText="1"/>
    </xf>
    <xf numFmtId="0" fontId="12" fillId="2" borderId="46" xfId="0" applyFont="1" applyFill="1" applyBorder="1" applyAlignment="1" applyProtection="1">
      <alignment horizontal="left" vertical="center" wrapText="1"/>
    </xf>
    <xf numFmtId="0" fontId="12" fillId="2" borderId="42" xfId="0" applyFont="1" applyFill="1" applyBorder="1" applyAlignment="1" applyProtection="1">
      <alignment horizontal="left" vertical="center" wrapText="1"/>
    </xf>
    <xf numFmtId="0" fontId="0" fillId="2" borderId="64" xfId="0" applyFill="1" applyBorder="1" applyAlignment="1" applyProtection="1">
      <alignment horizontal="center"/>
    </xf>
    <xf numFmtId="0" fontId="0" fillId="2" borderId="37" xfId="0" applyFill="1" applyBorder="1" applyAlignment="1" applyProtection="1">
      <alignment horizontal="center"/>
    </xf>
    <xf numFmtId="0" fontId="12" fillId="2" borderId="64"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49" fontId="24" fillId="0" borderId="64" xfId="0" applyNumberFormat="1" applyFont="1" applyBorder="1" applyAlignment="1" applyProtection="1">
      <alignment horizontal="left" vertical="top" wrapText="1"/>
      <protection locked="0"/>
    </xf>
    <xf numFmtId="49" fontId="24" fillId="0" borderId="54" xfId="0" applyNumberFormat="1" applyFont="1" applyBorder="1" applyAlignment="1" applyProtection="1">
      <alignment horizontal="left" vertical="top" wrapText="1"/>
      <protection locked="0"/>
    </xf>
    <xf numFmtId="49" fontId="24" fillId="0" borderId="25" xfId="0" applyNumberFormat="1" applyFont="1" applyBorder="1" applyAlignment="1" applyProtection="1">
      <alignment horizontal="left" vertical="top" wrapText="1"/>
      <protection locked="0"/>
    </xf>
    <xf numFmtId="49" fontId="24" fillId="0" borderId="26" xfId="0" applyNumberFormat="1" applyFont="1" applyBorder="1" applyAlignment="1" applyProtection="1">
      <alignment horizontal="left" vertical="top" wrapText="1"/>
      <protection locked="0"/>
    </xf>
    <xf numFmtId="49" fontId="26" fillId="0" borderId="65" xfId="2" quotePrefix="1" applyNumberFormat="1" applyFont="1" applyBorder="1" applyAlignment="1" applyProtection="1">
      <alignment horizontal="left" vertical="top"/>
      <protection locked="0"/>
    </xf>
    <xf numFmtId="49" fontId="26" fillId="0" borderId="3" xfId="2" applyNumberFormat="1" applyFont="1" applyBorder="1" applyAlignment="1" applyProtection="1">
      <alignment horizontal="left" vertical="top"/>
      <protection locked="0"/>
    </xf>
    <xf numFmtId="49" fontId="26" fillId="0" borderId="15" xfId="2" applyNumberFormat="1" applyFont="1" applyBorder="1" applyAlignment="1" applyProtection="1">
      <alignment horizontal="left" vertical="top"/>
      <protection locked="0"/>
    </xf>
    <xf numFmtId="49" fontId="26" fillId="0" borderId="65" xfId="2" applyNumberFormat="1" applyFont="1" applyBorder="1" applyAlignment="1" applyProtection="1">
      <alignment horizontal="left" vertical="top"/>
      <protection locked="0"/>
    </xf>
    <xf numFmtId="49" fontId="26" fillId="0" borderId="64" xfId="2" applyNumberFormat="1" applyFont="1" applyBorder="1" applyAlignment="1" applyProtection="1">
      <alignment horizontal="left" vertical="top"/>
      <protection locked="0"/>
    </xf>
    <xf numFmtId="49" fontId="26" fillId="0" borderId="47" xfId="2" applyNumberFormat="1" applyFont="1" applyBorder="1" applyAlignment="1" applyProtection="1">
      <alignment horizontal="left" vertical="top"/>
      <protection locked="0"/>
    </xf>
    <xf numFmtId="49" fontId="26" fillId="0" borderId="54" xfId="2" applyNumberFormat="1" applyFont="1" applyBorder="1" applyAlignment="1" applyProtection="1">
      <alignment horizontal="left" vertical="top"/>
      <protection locked="0"/>
    </xf>
    <xf numFmtId="0" fontId="4" fillId="0" borderId="49" xfId="0" applyFont="1" applyFill="1" applyBorder="1" applyAlignment="1" applyProtection="1">
      <alignment horizontal="left" vertical="top"/>
    </xf>
    <xf numFmtId="0" fontId="7" fillId="0" borderId="12"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44"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8" fillId="6" borderId="66" xfId="0" applyFont="1" applyFill="1" applyBorder="1" applyAlignment="1" applyProtection="1">
      <alignment horizontal="left"/>
    </xf>
    <xf numFmtId="0" fontId="8" fillId="6" borderId="49" xfId="0" applyFont="1" applyFill="1" applyBorder="1" applyAlignment="1" applyProtection="1">
      <alignment horizontal="left"/>
    </xf>
    <xf numFmtId="0" fontId="8" fillId="6" borderId="36" xfId="0" applyFont="1" applyFill="1" applyBorder="1" applyAlignment="1" applyProtection="1">
      <alignment horizontal="left"/>
    </xf>
    <xf numFmtId="49" fontId="3" fillId="0" borderId="12" xfId="0" applyNumberFormat="1" applyFont="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0" fontId="3" fillId="0" borderId="0" xfId="0" applyFont="1" applyBorder="1" applyAlignment="1" applyProtection="1">
      <alignment horizontal="left" vertical="top"/>
    </xf>
    <xf numFmtId="0" fontId="3" fillId="0" borderId="18" xfId="0" applyFont="1" applyBorder="1" applyAlignment="1" applyProtection="1">
      <alignment horizontal="left" vertical="top"/>
    </xf>
    <xf numFmtId="0" fontId="4" fillId="2" borderId="25" xfId="0" applyFont="1" applyFill="1" applyBorder="1" applyAlignment="1" applyProtection="1">
      <alignment horizontal="left" vertical="top" wrapText="1"/>
    </xf>
    <xf numFmtId="0" fontId="4" fillId="2" borderId="27" xfId="0" applyFont="1" applyFill="1" applyBorder="1" applyAlignment="1" applyProtection="1">
      <alignment horizontal="left" vertical="top" wrapText="1"/>
    </xf>
    <xf numFmtId="0" fontId="4" fillId="2" borderId="32" xfId="0" applyFont="1" applyFill="1" applyBorder="1" applyAlignment="1" applyProtection="1">
      <alignment horizontal="left" vertical="top" wrapText="1"/>
    </xf>
    <xf numFmtId="0" fontId="4" fillId="2" borderId="33" xfId="0" applyFont="1" applyFill="1" applyBorder="1" applyAlignment="1" applyProtection="1">
      <alignment horizontal="left" vertical="top" wrapText="1"/>
    </xf>
    <xf numFmtId="0" fontId="4" fillId="2" borderId="26" xfId="0" applyFont="1" applyFill="1" applyBorder="1" applyAlignment="1" applyProtection="1">
      <alignment horizontal="left" vertical="top" wrapText="1"/>
    </xf>
    <xf numFmtId="49" fontId="3" fillId="0" borderId="44" xfId="0" applyNumberFormat="1" applyFont="1" applyBorder="1" applyAlignment="1" applyProtection="1">
      <alignment horizontal="left" vertical="top" wrapText="1"/>
      <protection locked="0"/>
    </xf>
    <xf numFmtId="49" fontId="3" fillId="0" borderId="21" xfId="0" applyNumberFormat="1" applyFont="1" applyBorder="1" applyAlignment="1" applyProtection="1">
      <alignment horizontal="left" vertical="top" wrapText="1"/>
      <protection locked="0"/>
    </xf>
    <xf numFmtId="0" fontId="3" fillId="0" borderId="31" xfId="0" applyFont="1" applyBorder="1" applyAlignment="1" applyProtection="1">
      <alignment horizontal="left" vertical="top" wrapText="1"/>
    </xf>
    <xf numFmtId="0" fontId="3" fillId="0" borderId="22"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37" xfId="0" applyFont="1" applyBorder="1" applyAlignment="1" applyProtection="1">
      <alignment horizontal="left" vertical="top" wrapText="1"/>
    </xf>
    <xf numFmtId="0" fontId="3" fillId="0" borderId="20" xfId="0" applyFont="1" applyBorder="1" applyAlignment="1" applyProtection="1">
      <alignment horizontal="left" vertical="top" wrapText="1"/>
    </xf>
    <xf numFmtId="49" fontId="3" fillId="0" borderId="45" xfId="0" applyNumberFormat="1" applyFont="1" applyBorder="1" applyAlignment="1" applyProtection="1">
      <alignment horizontal="left" vertical="top" wrapText="1"/>
      <protection locked="0"/>
    </xf>
    <xf numFmtId="49" fontId="3" fillId="0" borderId="24" xfId="0" applyNumberFormat="1" applyFont="1" applyBorder="1" applyAlignment="1" applyProtection="1">
      <alignment horizontal="left" vertical="top" wrapText="1"/>
      <protection locked="0"/>
    </xf>
    <xf numFmtId="0" fontId="8" fillId="10" borderId="2" xfId="0" applyFont="1" applyFill="1" applyBorder="1" applyAlignment="1">
      <alignment horizontal="left" vertical="top"/>
    </xf>
    <xf numFmtId="0" fontId="8" fillId="10" borderId="3" xfId="0" applyFont="1" applyFill="1" applyBorder="1" applyAlignment="1">
      <alignment horizontal="left" vertical="top"/>
    </xf>
    <xf numFmtId="0" fontId="8" fillId="10" borderId="7" xfId="0" applyFont="1" applyFill="1" applyBorder="1" applyAlignment="1">
      <alignment horizontal="left" vertical="top"/>
    </xf>
    <xf numFmtId="0" fontId="3" fillId="0" borderId="4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27" xfId="0" applyFont="1" applyBorder="1" applyAlignment="1">
      <alignment horizontal="center"/>
    </xf>
    <xf numFmtId="0" fontId="3" fillId="0" borderId="27" xfId="0" applyFont="1" applyBorder="1" applyAlignment="1">
      <alignment horizontal="left" vertical="top"/>
    </xf>
    <xf numFmtId="0" fontId="3" fillId="0" borderId="27" xfId="0" applyFont="1" applyFill="1" applyBorder="1" applyAlignment="1">
      <alignment horizontal="left" vertical="top"/>
    </xf>
    <xf numFmtId="0" fontId="3" fillId="0" borderId="22" xfId="0" applyNumberFormat="1" applyFont="1" applyBorder="1" applyAlignment="1">
      <alignment horizontal="left" vertical="top" wrapText="1"/>
    </xf>
    <xf numFmtId="0" fontId="3" fillId="0" borderId="20" xfId="0" applyNumberFormat="1" applyFont="1" applyBorder="1" applyAlignment="1">
      <alignment horizontal="left" vertical="top" wrapText="1"/>
    </xf>
    <xf numFmtId="0" fontId="3" fillId="0" borderId="45" xfId="0" applyNumberFormat="1" applyFont="1" applyBorder="1" applyAlignment="1">
      <alignment horizontal="left" vertical="top" wrapText="1"/>
    </xf>
    <xf numFmtId="0" fontId="3" fillId="0" borderId="44" xfId="0" applyNumberFormat="1" applyFont="1" applyBorder="1" applyAlignment="1">
      <alignment horizontal="lef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28"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4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26" xfId="0" applyFont="1" applyFill="1" applyBorder="1" applyAlignment="1">
      <alignment horizontal="left" vertical="top" wrapText="1"/>
    </xf>
    <xf numFmtId="0" fontId="3" fillId="0" borderId="36" xfId="0" applyFont="1" applyBorder="1" applyAlignment="1">
      <alignment horizontal="left" vertical="top" wrapText="1"/>
    </xf>
    <xf numFmtId="0" fontId="3" fillId="0" borderId="16" xfId="0" applyFont="1" applyBorder="1" applyAlignment="1">
      <alignment horizontal="left" vertical="top" wrapText="1"/>
    </xf>
    <xf numFmtId="0" fontId="3" fillId="0" borderId="40"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56" xfId="0" applyNumberFormat="1" applyFont="1" applyBorder="1" applyAlignment="1">
      <alignment horizontal="left" vertical="top" wrapText="1"/>
    </xf>
    <xf numFmtId="0" fontId="3" fillId="0" borderId="51" xfId="0" applyNumberFormat="1" applyFont="1" applyBorder="1" applyAlignment="1">
      <alignment horizontal="left" vertical="top" wrapText="1"/>
    </xf>
    <xf numFmtId="0" fontId="3" fillId="2" borderId="25" xfId="0" applyFont="1" applyFill="1" applyBorder="1" applyAlignment="1">
      <alignment horizontal="center" vertical="top" wrapText="1"/>
    </xf>
    <xf numFmtId="0" fontId="3" fillId="2" borderId="26" xfId="0" applyFont="1"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3" fontId="3" fillId="2" borderId="66" xfId="0" applyNumberFormat="1" applyFont="1" applyFill="1" applyBorder="1" applyAlignment="1" applyProtection="1">
      <alignment horizontal="center" vertical="center" wrapText="1"/>
    </xf>
    <xf numFmtId="3" fontId="3" fillId="2" borderId="36" xfId="0" applyNumberFormat="1" applyFont="1" applyFill="1" applyBorder="1" applyAlignment="1" applyProtection="1">
      <alignment horizontal="center" vertical="center" wrapText="1"/>
    </xf>
    <xf numFmtId="3" fontId="3" fillId="2" borderId="48" xfId="0" applyNumberFormat="1" applyFont="1" applyFill="1" applyBorder="1" applyAlignment="1" applyProtection="1">
      <alignment horizontal="center" vertical="center" wrapText="1"/>
    </xf>
    <xf numFmtId="3" fontId="3" fillId="2" borderId="16" xfId="0" applyNumberFormat="1" applyFont="1" applyFill="1" applyBorder="1" applyAlignment="1" applyProtection="1">
      <alignment horizontal="center" vertical="center" wrapText="1"/>
    </xf>
    <xf numFmtId="3" fontId="3" fillId="2" borderId="62" xfId="0" applyNumberFormat="1" applyFont="1" applyFill="1" applyBorder="1" applyAlignment="1" applyProtection="1">
      <alignment horizontal="center" vertical="center" wrapText="1"/>
    </xf>
    <xf numFmtId="3" fontId="3" fillId="2" borderId="40" xfId="0" applyNumberFormat="1" applyFont="1" applyFill="1" applyBorder="1" applyAlignment="1" applyProtection="1">
      <alignment horizontal="center" vertical="center" wrapText="1"/>
    </xf>
    <xf numFmtId="0" fontId="3" fillId="0" borderId="28" xfId="0" applyNumberFormat="1" applyFont="1" applyBorder="1" applyAlignment="1">
      <alignment horizontal="left" vertical="top" wrapText="1"/>
    </xf>
    <xf numFmtId="0" fontId="3" fillId="0" borderId="41" xfId="0" applyNumberFormat="1" applyFont="1" applyBorder="1" applyAlignment="1">
      <alignment horizontal="left" vertical="top" wrapText="1"/>
    </xf>
    <xf numFmtId="0" fontId="7" fillId="0" borderId="1" xfId="0" applyFont="1" applyBorder="1" applyAlignment="1">
      <alignment horizontal="left" vertical="top"/>
    </xf>
    <xf numFmtId="0" fontId="3" fillId="0" borderId="12" xfId="0" applyFont="1" applyFill="1" applyBorder="1" applyAlignment="1">
      <alignment horizontal="left" vertical="top" wrapText="1"/>
    </xf>
    <xf numFmtId="0" fontId="3" fillId="0" borderId="13" xfId="0" applyNumberFormat="1" applyFont="1" applyBorder="1" applyAlignment="1">
      <alignment horizontal="left" vertical="top" wrapText="1"/>
    </xf>
    <xf numFmtId="0" fontId="15" fillId="10" borderId="0" xfId="0" applyFont="1" applyFill="1" applyAlignment="1">
      <alignment horizontal="left"/>
    </xf>
    <xf numFmtId="14" fontId="10" fillId="0" borderId="1" xfId="0" applyNumberFormat="1" applyFont="1" applyBorder="1" applyAlignment="1" applyProtection="1">
      <alignment horizontal="left" vertical="center"/>
      <protection locked="0"/>
    </xf>
    <xf numFmtId="49" fontId="16" fillId="0" borderId="1" xfId="0" applyNumberFormat="1" applyFont="1" applyBorder="1" applyAlignment="1">
      <alignment horizontal="left" vertical="top"/>
    </xf>
    <xf numFmtId="0" fontId="3" fillId="2" borderId="25" xfId="0" applyFont="1" applyFill="1" applyBorder="1" applyAlignment="1">
      <alignment horizontal="center"/>
    </xf>
    <xf numFmtId="0" fontId="3" fillId="2" borderId="27" xfId="0" applyFont="1" applyFill="1" applyBorder="1" applyAlignment="1">
      <alignment horizontal="center"/>
    </xf>
    <xf numFmtId="0" fontId="3" fillId="2" borderId="26" xfId="0" applyFont="1" applyFill="1" applyBorder="1" applyAlignment="1">
      <alignment horizontal="center"/>
    </xf>
    <xf numFmtId="49" fontId="3" fillId="0" borderId="34" xfId="0" applyNumberFormat="1" applyFont="1" applyFill="1" applyBorder="1" applyAlignment="1" applyProtection="1">
      <alignment horizontal="left" vertical="top" wrapText="1"/>
      <protection locked="0"/>
    </xf>
    <xf numFmtId="49" fontId="3" fillId="0" borderId="11" xfId="0" applyNumberFormat="1" applyFont="1" applyFill="1" applyBorder="1" applyAlignment="1" applyProtection="1">
      <alignment horizontal="left" vertical="top" wrapText="1"/>
      <protection locked="0"/>
    </xf>
    <xf numFmtId="49" fontId="3" fillId="0" borderId="23" xfId="0" applyNumberFormat="1" applyFont="1" applyFill="1" applyBorder="1" applyAlignment="1" applyProtection="1">
      <alignment horizontal="left" vertical="top" wrapText="1"/>
      <protection locked="0"/>
    </xf>
    <xf numFmtId="0" fontId="4" fillId="2" borderId="25" xfId="0" applyFont="1" applyFill="1" applyBorder="1" applyAlignment="1">
      <alignment horizontal="left" vertical="center"/>
    </xf>
    <xf numFmtId="0" fontId="4" fillId="2" borderId="27" xfId="0" applyFont="1" applyFill="1" applyBorder="1" applyAlignment="1">
      <alignment horizontal="left" vertical="center"/>
    </xf>
    <xf numFmtId="0" fontId="4" fillId="2" borderId="26" xfId="0" applyFont="1" applyFill="1" applyBorder="1" applyAlignment="1">
      <alignment horizontal="left" vertical="center"/>
    </xf>
    <xf numFmtId="0" fontId="3" fillId="3" borderId="46"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50" xfId="0" applyFont="1" applyFill="1" applyBorder="1" applyAlignment="1">
      <alignment horizontal="left" vertical="top" wrapText="1"/>
    </xf>
    <xf numFmtId="0" fontId="3" fillId="3" borderId="40" xfId="0" applyFont="1" applyFill="1" applyBorder="1" applyAlignment="1">
      <alignment horizontal="left" vertical="top" wrapText="1"/>
    </xf>
    <xf numFmtId="0" fontId="6" fillId="2" borderId="25" xfId="0" applyFont="1" applyFill="1" applyBorder="1" applyAlignment="1">
      <alignment horizontal="center" vertical="top"/>
    </xf>
    <xf numFmtId="0" fontId="6" fillId="2" borderId="27" xfId="0" applyFont="1" applyFill="1" applyBorder="1" applyAlignment="1">
      <alignment horizontal="center" vertical="top"/>
    </xf>
    <xf numFmtId="0" fontId="6" fillId="2" borderId="26" xfId="0" applyFont="1" applyFill="1" applyBorder="1" applyAlignment="1">
      <alignment horizontal="center" vertical="top"/>
    </xf>
    <xf numFmtId="49" fontId="4" fillId="0" borderId="34" xfId="0" applyNumberFormat="1" applyFont="1" applyFill="1" applyBorder="1" applyAlignment="1" applyProtection="1">
      <alignment horizontal="left" vertical="top" wrapText="1"/>
      <protection locked="0"/>
    </xf>
    <xf numFmtId="49" fontId="4" fillId="0" borderId="11" xfId="0" applyNumberFormat="1" applyFont="1" applyFill="1" applyBorder="1" applyAlignment="1" applyProtection="1">
      <alignment horizontal="left" vertical="top" wrapText="1"/>
      <protection locked="0"/>
    </xf>
    <xf numFmtId="49" fontId="4" fillId="0" borderId="23" xfId="0" applyNumberFormat="1" applyFont="1" applyFill="1" applyBorder="1" applyAlignment="1" applyProtection="1">
      <alignment horizontal="left" vertical="top" wrapText="1"/>
      <protection locked="0"/>
    </xf>
    <xf numFmtId="0" fontId="3" fillId="0" borderId="53"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0" borderId="52"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xf>
    <xf numFmtId="0" fontId="3" fillId="0" borderId="15" xfId="0" applyFont="1" applyFill="1" applyBorder="1" applyAlignment="1">
      <alignment horizontal="left" vertical="top"/>
    </xf>
    <xf numFmtId="0" fontId="3" fillId="0" borderId="46"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3" borderId="23" xfId="0" applyFont="1" applyFill="1" applyBorder="1" applyAlignment="1">
      <alignment horizontal="left" vertical="top" wrapText="1"/>
    </xf>
    <xf numFmtId="0" fontId="4" fillId="2" borderId="25" xfId="0" applyFont="1" applyFill="1" applyBorder="1" applyAlignment="1">
      <alignment horizontal="left" vertical="top"/>
    </xf>
    <xf numFmtId="0" fontId="4" fillId="2" borderId="27" xfId="0" applyFont="1" applyFill="1" applyBorder="1" applyAlignment="1">
      <alignment horizontal="left" vertical="top"/>
    </xf>
    <xf numFmtId="0" fontId="4" fillId="2" borderId="26" xfId="0" applyFont="1" applyFill="1" applyBorder="1" applyAlignment="1">
      <alignment horizontal="left" vertical="top"/>
    </xf>
    <xf numFmtId="0" fontId="3" fillId="3" borderId="63" xfId="0" applyFont="1" applyFill="1" applyBorder="1" applyAlignment="1">
      <alignment horizontal="left" vertical="top" wrapText="1"/>
    </xf>
    <xf numFmtId="0" fontId="3" fillId="3" borderId="65" xfId="0" applyFont="1" applyFill="1" applyBorder="1" applyAlignment="1">
      <alignment horizontal="left" vertical="top" wrapText="1"/>
    </xf>
    <xf numFmtId="0" fontId="3" fillId="3" borderId="62" xfId="0" applyFont="1" applyFill="1" applyBorder="1" applyAlignment="1">
      <alignment horizontal="left" vertical="top" wrapText="1"/>
    </xf>
    <xf numFmtId="0" fontId="3" fillId="2" borderId="66"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4" fillId="2" borderId="27" xfId="0" applyFont="1" applyFill="1" applyBorder="1" applyAlignment="1">
      <alignment horizontal="center" vertical="center" wrapText="1"/>
    </xf>
    <xf numFmtId="3" fontId="21" fillId="4" borderId="25" xfId="0" applyNumberFormat="1" applyFont="1" applyFill="1" applyBorder="1" applyAlignment="1" applyProtection="1">
      <alignment horizontal="center" vertical="center" wrapText="1"/>
      <protection locked="0"/>
    </xf>
    <xf numFmtId="3" fontId="21" fillId="4" borderId="26" xfId="0" applyNumberFormat="1" applyFont="1" applyFill="1" applyBorder="1" applyAlignment="1" applyProtection="1">
      <alignment horizontal="center" vertical="center" wrapText="1"/>
      <protection locked="0"/>
    </xf>
    <xf numFmtId="49" fontId="18" fillId="11" borderId="25" xfId="0" applyNumberFormat="1" applyFont="1" applyFill="1" applyBorder="1" applyAlignment="1" applyProtection="1">
      <alignment horizontal="center" vertical="center"/>
      <protection locked="0"/>
    </xf>
    <xf numFmtId="49" fontId="18" fillId="11" borderId="26" xfId="0" applyNumberFormat="1" applyFont="1" applyFill="1" applyBorder="1" applyAlignment="1" applyProtection="1">
      <alignment horizontal="center" vertical="center"/>
      <protection locked="0"/>
    </xf>
    <xf numFmtId="49" fontId="3" fillId="3" borderId="34" xfId="0" applyNumberFormat="1" applyFont="1" applyFill="1" applyBorder="1" applyAlignment="1" applyProtection="1">
      <alignment horizontal="left" vertical="top" wrapText="1"/>
      <protection locked="0"/>
    </xf>
    <xf numFmtId="49" fontId="3" fillId="3" borderId="11" xfId="0" applyNumberFormat="1" applyFont="1" applyFill="1" applyBorder="1" applyAlignment="1" applyProtection="1">
      <alignment horizontal="left" vertical="top" wrapText="1"/>
      <protection locked="0"/>
    </xf>
    <xf numFmtId="49" fontId="3" fillId="3" borderId="23" xfId="0" applyNumberFormat="1" applyFont="1" applyFill="1" applyBorder="1" applyAlignment="1" applyProtection="1">
      <alignment horizontal="left" vertical="top" wrapText="1"/>
      <protection locked="0"/>
    </xf>
    <xf numFmtId="0" fontId="3" fillId="2" borderId="25"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3" fontId="21" fillId="4" borderId="25" xfId="0" applyNumberFormat="1" applyFont="1" applyFill="1" applyBorder="1" applyAlignment="1" applyProtection="1">
      <alignment horizontal="center" vertical="center" wrapText="1"/>
    </xf>
    <xf numFmtId="3" fontId="21" fillId="4" borderId="26" xfId="0" applyNumberFormat="1" applyFont="1" applyFill="1" applyBorder="1" applyAlignment="1" applyProtection="1">
      <alignment horizontal="center" vertical="center" wrapText="1"/>
    </xf>
    <xf numFmtId="0" fontId="17" fillId="2" borderId="66" xfId="0" applyNumberFormat="1" applyFont="1" applyFill="1" applyBorder="1" applyAlignment="1" applyProtection="1">
      <alignment horizontal="center" vertical="center"/>
    </xf>
    <xf numFmtId="0" fontId="17" fillId="2" borderId="36" xfId="0" applyNumberFormat="1" applyFont="1" applyFill="1" applyBorder="1" applyAlignment="1" applyProtection="1">
      <alignment horizontal="center" vertical="center"/>
    </xf>
    <xf numFmtId="0" fontId="17" fillId="2" borderId="62" xfId="0" applyNumberFormat="1" applyFont="1" applyFill="1" applyBorder="1" applyAlignment="1" applyProtection="1">
      <alignment horizontal="center" vertical="center"/>
    </xf>
    <xf numFmtId="0" fontId="17" fillId="2" borderId="40" xfId="0" applyNumberFormat="1" applyFont="1" applyFill="1" applyBorder="1" applyAlignment="1" applyProtection="1">
      <alignment horizontal="center" vertical="center"/>
    </xf>
    <xf numFmtId="0" fontId="3" fillId="3" borderId="25"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2" borderId="25" xfId="0" applyFont="1" applyFill="1" applyBorder="1" applyAlignment="1" applyProtection="1">
      <alignment horizontal="center"/>
    </xf>
    <xf numFmtId="0" fontId="3" fillId="2" borderId="27" xfId="0" applyFont="1" applyFill="1" applyBorder="1" applyAlignment="1" applyProtection="1">
      <alignment horizontal="center"/>
    </xf>
    <xf numFmtId="0" fontId="3" fillId="2" borderId="26" xfId="0" applyFont="1" applyFill="1" applyBorder="1" applyAlignment="1" applyProtection="1">
      <alignment horizontal="center"/>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30" fillId="10" borderId="0" xfId="0" applyFont="1" applyFill="1" applyAlignment="1" applyProtection="1">
      <alignment horizontal="left"/>
    </xf>
    <xf numFmtId="0" fontId="19" fillId="14" borderId="31" xfId="0" applyFont="1" applyFill="1" applyBorder="1" applyAlignment="1">
      <alignment horizontal="left" vertical="top" wrapText="1"/>
    </xf>
    <xf numFmtId="0" fontId="19" fillId="14" borderId="22" xfId="0" applyFont="1" applyFill="1" applyBorder="1" applyAlignment="1">
      <alignment horizontal="left" vertical="top" wrapText="1"/>
    </xf>
    <xf numFmtId="0" fontId="19" fillId="14" borderId="24" xfId="0" applyFont="1" applyFill="1" applyBorder="1" applyAlignment="1">
      <alignment horizontal="left" vertical="top" wrapText="1"/>
    </xf>
    <xf numFmtId="0" fontId="1" fillId="13" borderId="25" xfId="0" applyFont="1" applyFill="1" applyBorder="1" applyAlignment="1">
      <alignment horizontal="center"/>
    </xf>
    <xf numFmtId="0" fontId="1" fillId="13" borderId="27" xfId="0" applyFont="1" applyFill="1" applyBorder="1" applyAlignment="1">
      <alignment horizontal="center"/>
    </xf>
    <xf numFmtId="0" fontId="1" fillId="13" borderId="26" xfId="0" applyFont="1" applyFill="1" applyBorder="1" applyAlignment="1">
      <alignment horizontal="center"/>
    </xf>
    <xf numFmtId="0" fontId="14" fillId="8" borderId="0" xfId="0" applyFont="1" applyFill="1" applyAlignment="1">
      <alignment horizontal="left" vertical="top"/>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7" xfId="0" applyFont="1" applyFill="1" applyBorder="1" applyAlignment="1">
      <alignment horizontal="left" vertical="center"/>
    </xf>
    <xf numFmtId="0" fontId="1" fillId="2" borderId="3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40" xfId="0" applyFont="1" applyFill="1" applyBorder="1" applyAlignment="1">
      <alignment horizontal="center" vertical="center"/>
    </xf>
  </cellXfs>
  <cellStyles count="3">
    <cellStyle name="Link" xfId="2" builtinId="8"/>
    <cellStyle name="Standard" xfId="0" builtinId="0"/>
    <cellStyle name="Standard 4" xfId="1" xr:uid="{00000000-0005-0000-0000-000002000000}"/>
  </cellStyles>
  <dxfs count="0"/>
  <tableStyles count="0" defaultTableStyle="TableStyleMedium2" defaultPivotStyle="PivotStyleLight16"/>
  <colors>
    <mruColors>
      <color rgb="FF305496"/>
      <color rgb="FF5F2C09"/>
      <color rgb="FFFF7979"/>
      <color rgb="FFFFD5D5"/>
      <color rgb="FF9191B5"/>
      <color rgb="FFD4D4E2"/>
      <color rgb="FFCC0000"/>
      <color rgb="FF595985"/>
      <color rgb="FFFF5757"/>
      <color rgb="FFBD92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1430131</xdr:colOff>
      <xdr:row>0</xdr:row>
      <xdr:rowOff>66261</xdr:rowOff>
    </xdr:from>
    <xdr:ext cx="184731" cy="264560"/>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1590261" y="662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9">
    <tabColor theme="5"/>
  </sheetPr>
  <dimension ref="A1:E29"/>
  <sheetViews>
    <sheetView workbookViewId="0">
      <selection activeCell="C12" sqref="C12"/>
    </sheetView>
  </sheetViews>
  <sheetFormatPr baseColWidth="10" defaultRowHeight="14" x14ac:dyDescent="0.3"/>
  <cols>
    <col min="3" max="3" width="14.33203125" bestFit="1" customWidth="1"/>
  </cols>
  <sheetData>
    <row r="1" spans="1:5" x14ac:dyDescent="0.3">
      <c r="A1" s="123" t="s">
        <v>29</v>
      </c>
    </row>
    <row r="3" spans="1:5" x14ac:dyDescent="0.3">
      <c r="A3" s="125" t="s">
        <v>35</v>
      </c>
      <c r="C3" s="126" t="s">
        <v>37</v>
      </c>
      <c r="E3" s="126" t="s">
        <v>31</v>
      </c>
    </row>
    <row r="4" spans="1:5" x14ac:dyDescent="0.3">
      <c r="A4" s="167" t="s">
        <v>6</v>
      </c>
      <c r="C4" s="127" t="s">
        <v>32</v>
      </c>
      <c r="E4" s="168" t="s">
        <v>32</v>
      </c>
    </row>
    <row r="5" spans="1:5" x14ac:dyDescent="0.3">
      <c r="A5" s="124" t="s">
        <v>5</v>
      </c>
      <c r="C5" s="127" t="s">
        <v>137</v>
      </c>
      <c r="E5" s="127" t="s">
        <v>137</v>
      </c>
    </row>
    <row r="6" spans="1:5" x14ac:dyDescent="0.3">
      <c r="A6" s="124" t="s">
        <v>4</v>
      </c>
      <c r="C6" s="127" t="s">
        <v>138</v>
      </c>
      <c r="E6" s="127" t="s">
        <v>138</v>
      </c>
    </row>
    <row r="7" spans="1:5" x14ac:dyDescent="0.3">
      <c r="A7" s="124" t="s">
        <v>7</v>
      </c>
    </row>
    <row r="8" spans="1:5" x14ac:dyDescent="0.3">
      <c r="A8" s="124" t="s">
        <v>8</v>
      </c>
      <c r="C8" s="126" t="s">
        <v>30</v>
      </c>
      <c r="E8" s="126" t="s">
        <v>41</v>
      </c>
    </row>
    <row r="9" spans="1:5" x14ac:dyDescent="0.3">
      <c r="A9" s="124" t="s">
        <v>9</v>
      </c>
      <c r="C9" s="168" t="s">
        <v>32</v>
      </c>
      <c r="E9" s="168" t="s">
        <v>32</v>
      </c>
    </row>
    <row r="10" spans="1:5" x14ac:dyDescent="0.3">
      <c r="A10" s="124" t="s">
        <v>10</v>
      </c>
      <c r="C10" s="127" t="s">
        <v>137</v>
      </c>
      <c r="E10" s="290" t="s">
        <v>140</v>
      </c>
    </row>
    <row r="11" spans="1:5" x14ac:dyDescent="0.3">
      <c r="A11" s="124" t="s">
        <v>11</v>
      </c>
      <c r="C11" s="127" t="s">
        <v>138</v>
      </c>
      <c r="E11" s="289" t="s">
        <v>139</v>
      </c>
    </row>
    <row r="12" spans="1:5" x14ac:dyDescent="0.3">
      <c r="A12" s="124" t="s">
        <v>3</v>
      </c>
      <c r="C12" s="127" t="s">
        <v>181</v>
      </c>
      <c r="E12" s="288"/>
    </row>
    <row r="13" spans="1:5" x14ac:dyDescent="0.3">
      <c r="A13" s="124" t="s">
        <v>12</v>
      </c>
    </row>
    <row r="14" spans="1:5" x14ac:dyDescent="0.3">
      <c r="A14" s="124" t="s">
        <v>13</v>
      </c>
    </row>
    <row r="15" spans="1:5" x14ac:dyDescent="0.3">
      <c r="A15" s="124" t="s">
        <v>14</v>
      </c>
    </row>
    <row r="16" spans="1:5" x14ac:dyDescent="0.3">
      <c r="A16" s="124" t="s">
        <v>15</v>
      </c>
    </row>
    <row r="17" spans="1:1" x14ac:dyDescent="0.3">
      <c r="A17" s="124" t="s">
        <v>16</v>
      </c>
    </row>
    <row r="18" spans="1:1" x14ac:dyDescent="0.3">
      <c r="A18" s="124" t="s">
        <v>17</v>
      </c>
    </row>
    <row r="19" spans="1:1" x14ac:dyDescent="0.3">
      <c r="A19" s="124" t="s">
        <v>18</v>
      </c>
    </row>
    <row r="20" spans="1:1" x14ac:dyDescent="0.3">
      <c r="A20" s="124" t="s">
        <v>19</v>
      </c>
    </row>
    <row r="21" spans="1:1" x14ac:dyDescent="0.3">
      <c r="A21" s="124" t="s">
        <v>20</v>
      </c>
    </row>
    <row r="22" spans="1:1" x14ac:dyDescent="0.3">
      <c r="A22" s="124" t="s">
        <v>21</v>
      </c>
    </row>
    <row r="23" spans="1:1" x14ac:dyDescent="0.3">
      <c r="A23" s="124" t="s">
        <v>22</v>
      </c>
    </row>
    <row r="24" spans="1:1" x14ac:dyDescent="0.3">
      <c r="A24" s="124" t="s">
        <v>23</v>
      </c>
    </row>
    <row r="25" spans="1:1" x14ac:dyDescent="0.3">
      <c r="A25" s="124" t="s">
        <v>24</v>
      </c>
    </row>
    <row r="26" spans="1:1" x14ac:dyDescent="0.3">
      <c r="A26" s="124" t="s">
        <v>25</v>
      </c>
    </row>
    <row r="27" spans="1:1" x14ac:dyDescent="0.3">
      <c r="A27" s="124" t="s">
        <v>26</v>
      </c>
    </row>
    <row r="28" spans="1:1" x14ac:dyDescent="0.3">
      <c r="A28" s="124" t="s">
        <v>27</v>
      </c>
    </row>
    <row r="29" spans="1:1" x14ac:dyDescent="0.3">
      <c r="A29" s="124" t="s">
        <v>28</v>
      </c>
    </row>
  </sheetData>
  <customSheetViews>
    <customSheetView guid="{168849A9-FED9-4458-942F-290616B3A25C}" state="hidden">
      <selection activeCell="E17" sqref="E17:E18"/>
      <pageMargins left="0.7" right="0.7" top="0.78740157499999996" bottom="0.78740157499999996" header="0.3" footer="0.3"/>
      <pageSetup paperSize="9" orientation="portrait" horizontalDpi="90" verticalDpi="90" r:id="rId1"/>
    </customSheetView>
  </customSheetViews>
  <pageMargins left="0.7" right="0.7" top="0.78740157499999996" bottom="0.78740157499999996"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0" tint="-0.499984740745262"/>
    <pageSetUpPr fitToPage="1"/>
  </sheetPr>
  <dimension ref="B1:G31"/>
  <sheetViews>
    <sheetView showGridLines="0" tabSelected="1" zoomScale="70" zoomScaleNormal="70" workbookViewId="0">
      <selection activeCell="D7" sqref="D7"/>
    </sheetView>
  </sheetViews>
  <sheetFormatPr baseColWidth="10" defaultColWidth="10.58203125" defaultRowHeight="14" x14ac:dyDescent="0.3"/>
  <cols>
    <col min="1" max="1" width="2.08203125" style="206" customWidth="1"/>
    <col min="2" max="2" width="14.58203125" style="206" customWidth="1"/>
    <col min="3" max="3" width="26" style="206" customWidth="1"/>
    <col min="4" max="4" width="50.5" style="206" customWidth="1"/>
    <col min="5" max="7" width="10.58203125" style="206"/>
    <col min="8" max="8" width="2.08203125" style="206" customWidth="1"/>
    <col min="9" max="16384" width="10.58203125" style="206"/>
  </cols>
  <sheetData>
    <row r="1" spans="2:7" ht="30" x14ac:dyDescent="0.3">
      <c r="B1" s="377" t="s">
        <v>198</v>
      </c>
      <c r="C1" s="377"/>
      <c r="D1" s="377"/>
    </row>
    <row r="2" spans="2:7" ht="14.5" thickBot="1" x14ac:dyDescent="0.35"/>
    <row r="3" spans="2:7" ht="28.5" customHeight="1" x14ac:dyDescent="0.6">
      <c r="B3" s="378" t="s">
        <v>42</v>
      </c>
      <c r="C3" s="379"/>
      <c r="D3" s="207" t="s">
        <v>43</v>
      </c>
    </row>
    <row r="4" spans="2:7" ht="28.5" customHeight="1" thickBot="1" x14ac:dyDescent="0.6">
      <c r="B4" s="383"/>
      <c r="C4" s="384"/>
      <c r="D4" s="335" t="s">
        <v>35</v>
      </c>
    </row>
    <row r="5" spans="2:7" ht="18.649999999999999" customHeight="1" thickBot="1" x14ac:dyDescent="0.65">
      <c r="C5" s="208"/>
      <c r="D5" s="209"/>
    </row>
    <row r="6" spans="2:7" ht="28.5" customHeight="1" thickBot="1" x14ac:dyDescent="0.35">
      <c r="B6" s="380" t="s">
        <v>44</v>
      </c>
      <c r="C6" s="381"/>
      <c r="D6" s="382"/>
    </row>
    <row r="7" spans="2:7" ht="28.5" customHeight="1" thickBot="1" x14ac:dyDescent="0.35">
      <c r="B7" s="385"/>
      <c r="C7" s="386"/>
      <c r="D7" s="330"/>
    </row>
    <row r="8" spans="2:7" ht="14.5" thickBot="1" x14ac:dyDescent="0.35"/>
    <row r="9" spans="2:7" ht="28.5" customHeight="1" x14ac:dyDescent="0.3">
      <c r="B9" s="380" t="s">
        <v>45</v>
      </c>
      <c r="C9" s="381"/>
      <c r="D9" s="382"/>
    </row>
    <row r="10" spans="2:7" ht="28.5" customHeight="1" thickBot="1" x14ac:dyDescent="0.35">
      <c r="B10" s="210" t="s">
        <v>46</v>
      </c>
      <c r="C10" s="387"/>
      <c r="D10" s="388"/>
    </row>
    <row r="11" spans="2:7" ht="28.5" customHeight="1" thickBot="1" x14ac:dyDescent="0.35">
      <c r="B11" s="211" t="s">
        <v>36</v>
      </c>
      <c r="C11" s="389"/>
      <c r="D11" s="390"/>
    </row>
    <row r="12" spans="2:7" ht="28.5" customHeight="1" thickBot="1" x14ac:dyDescent="0.35">
      <c r="B12" s="211" t="s">
        <v>47</v>
      </c>
      <c r="C12" s="389"/>
      <c r="D12" s="390"/>
    </row>
    <row r="14" spans="2:7" ht="14.5" thickBot="1" x14ac:dyDescent="0.35"/>
    <row r="15" spans="2:7" ht="36.5" thickBot="1" x14ac:dyDescent="0.35">
      <c r="B15" s="302" t="s">
        <v>48</v>
      </c>
      <c r="C15" s="374" t="s">
        <v>49</v>
      </c>
      <c r="D15" s="375"/>
      <c r="E15" s="375"/>
      <c r="F15" s="375"/>
      <c r="G15" s="376"/>
    </row>
    <row r="16" spans="2:7" ht="23.15" customHeight="1" x14ac:dyDescent="0.3">
      <c r="B16" s="292">
        <v>1</v>
      </c>
      <c r="C16" s="331" t="s">
        <v>164</v>
      </c>
      <c r="D16" s="332"/>
      <c r="E16" s="332"/>
      <c r="F16" s="332"/>
      <c r="G16" s="333"/>
    </row>
    <row r="17" spans="2:7" ht="22.5" x14ac:dyDescent="0.3">
      <c r="B17" s="293">
        <v>2</v>
      </c>
      <c r="C17" s="371" t="s">
        <v>50</v>
      </c>
      <c r="D17" s="372"/>
      <c r="E17" s="372"/>
      <c r="F17" s="372"/>
      <c r="G17" s="334"/>
    </row>
    <row r="18" spans="2:7" ht="23.15" customHeight="1" x14ac:dyDescent="0.3">
      <c r="B18" s="212">
        <v>3</v>
      </c>
      <c r="C18" s="391" t="s">
        <v>64</v>
      </c>
      <c r="D18" s="392"/>
      <c r="E18" s="392"/>
      <c r="F18" s="392"/>
      <c r="G18" s="393"/>
    </row>
    <row r="19" spans="2:7" ht="23.25" customHeight="1" x14ac:dyDescent="0.3">
      <c r="B19" s="213">
        <v>4</v>
      </c>
      <c r="C19" s="391" t="s">
        <v>165</v>
      </c>
      <c r="D19" s="392"/>
      <c r="E19" s="392"/>
      <c r="F19" s="392"/>
      <c r="G19" s="393"/>
    </row>
    <row r="20" spans="2:7" ht="23.25" customHeight="1" x14ac:dyDescent="0.3">
      <c r="B20" s="213">
        <v>5</v>
      </c>
      <c r="C20" s="394" t="s">
        <v>166</v>
      </c>
      <c r="D20" s="392"/>
      <c r="E20" s="392"/>
      <c r="F20" s="392"/>
      <c r="G20" s="393"/>
    </row>
    <row r="21" spans="2:7" ht="23.25" customHeight="1" x14ac:dyDescent="0.3">
      <c r="B21" s="213">
        <v>6</v>
      </c>
      <c r="C21" s="394" t="s">
        <v>167</v>
      </c>
      <c r="D21" s="392"/>
      <c r="E21" s="392"/>
      <c r="F21" s="392"/>
      <c r="G21" s="393"/>
    </row>
    <row r="22" spans="2:7" ht="23.25" customHeight="1" x14ac:dyDescent="0.3">
      <c r="B22" s="213">
        <v>7</v>
      </c>
      <c r="C22" s="394" t="s">
        <v>168</v>
      </c>
      <c r="D22" s="392"/>
      <c r="E22" s="392"/>
      <c r="F22" s="392"/>
      <c r="G22" s="393"/>
    </row>
    <row r="23" spans="2:7" ht="23.25" customHeight="1" x14ac:dyDescent="0.3">
      <c r="B23" s="213">
        <v>8</v>
      </c>
      <c r="C23" s="394" t="s">
        <v>169</v>
      </c>
      <c r="D23" s="392"/>
      <c r="E23" s="392"/>
      <c r="F23" s="392"/>
      <c r="G23" s="393"/>
    </row>
    <row r="24" spans="2:7" ht="23.25" customHeight="1" x14ac:dyDescent="0.3">
      <c r="B24" s="213">
        <v>9</v>
      </c>
      <c r="C24" s="391" t="s">
        <v>170</v>
      </c>
      <c r="D24" s="392"/>
      <c r="E24" s="392"/>
      <c r="F24" s="392"/>
      <c r="G24" s="393"/>
    </row>
    <row r="25" spans="2:7" ht="23.25" customHeight="1" x14ac:dyDescent="0.3">
      <c r="B25" s="213">
        <v>10</v>
      </c>
      <c r="C25" s="394" t="s">
        <v>171</v>
      </c>
      <c r="D25" s="392"/>
      <c r="E25" s="392"/>
      <c r="F25" s="392"/>
      <c r="G25" s="393"/>
    </row>
    <row r="26" spans="2:7" ht="23.25" customHeight="1" x14ac:dyDescent="0.3">
      <c r="B26" s="213">
        <v>11</v>
      </c>
      <c r="C26" s="394" t="s">
        <v>172</v>
      </c>
      <c r="D26" s="392"/>
      <c r="E26" s="392"/>
      <c r="F26" s="392"/>
      <c r="G26" s="393"/>
    </row>
    <row r="27" spans="2:7" ht="23.25" customHeight="1" x14ac:dyDescent="0.3">
      <c r="B27" s="213">
        <v>12</v>
      </c>
      <c r="C27" s="394" t="s">
        <v>173</v>
      </c>
      <c r="D27" s="392"/>
      <c r="E27" s="392"/>
      <c r="F27" s="392"/>
      <c r="G27" s="393"/>
    </row>
    <row r="28" spans="2:7" ht="23.25" customHeight="1" x14ac:dyDescent="0.3">
      <c r="B28" s="213">
        <v>13</v>
      </c>
      <c r="C28" s="394" t="s">
        <v>174</v>
      </c>
      <c r="D28" s="392"/>
      <c r="E28" s="392"/>
      <c r="F28" s="392"/>
      <c r="G28" s="393"/>
    </row>
    <row r="29" spans="2:7" ht="23.25" customHeight="1" x14ac:dyDescent="0.3">
      <c r="B29" s="213">
        <v>14</v>
      </c>
      <c r="C29" s="394" t="s">
        <v>175</v>
      </c>
      <c r="D29" s="392"/>
      <c r="E29" s="392"/>
      <c r="F29" s="392"/>
      <c r="G29" s="393"/>
    </row>
    <row r="30" spans="2:7" ht="23.25" customHeight="1" thickBot="1" x14ac:dyDescent="0.35">
      <c r="B30" s="373">
        <v>15</v>
      </c>
      <c r="C30" s="395" t="s">
        <v>176</v>
      </c>
      <c r="D30" s="396"/>
      <c r="E30" s="396"/>
      <c r="F30" s="396"/>
      <c r="G30" s="397"/>
    </row>
    <row r="31" spans="2:7" ht="23.5" customHeight="1" x14ac:dyDescent="0.3"/>
  </sheetData>
  <sheetProtection algorithmName="SHA-512" hashValue="6eL5yvgLiAZZzY7774JSVCDIvi2ocLmx0jjyQ1Dq31i3ec9zPGaiMZ3mB+VQSGM/g8pUUQ/gJ8rYf5FR7RRUGw==" saltValue="fvbu4nKNnLLtgoLOhRcHSw==" spinCount="100000" sheet="1" selectLockedCells="1"/>
  <customSheetViews>
    <customSheetView guid="{168849A9-FED9-4458-942F-290616B3A25C}" scale="60" showPageBreaks="1" showGridLines="0" fitToPage="1" printArea="1" topLeftCell="A10">
      <selection activeCell="M12" sqref="M12"/>
      <pageMargins left="0.70866141732283472" right="0.70866141732283472" top="1.1811023622047245" bottom="0.78740157480314965" header="0.31496062992125984" footer="0.31496062992125984"/>
      <pageSetup paperSize="9" scale="63" orientation="portrait" horizontalDpi="90" verticalDpi="90" r:id="rId1"/>
      <headerFooter>
        <oddHeader>&amp;LKennzahlenraster KIP IAS&amp;R&amp;G</oddHeader>
        <oddFooter>&amp;L&amp;A&amp;R&amp;P</oddFooter>
      </headerFooter>
    </customSheetView>
  </customSheetViews>
  <mergeCells count="23">
    <mergeCell ref="C28:G28"/>
    <mergeCell ref="C29:G29"/>
    <mergeCell ref="C30:G30"/>
    <mergeCell ref="C23:G23"/>
    <mergeCell ref="C24:G24"/>
    <mergeCell ref="C25:G25"/>
    <mergeCell ref="C26:G26"/>
    <mergeCell ref="C27:G27"/>
    <mergeCell ref="C18:G18"/>
    <mergeCell ref="C19:G19"/>
    <mergeCell ref="C20:G20"/>
    <mergeCell ref="C21:G21"/>
    <mergeCell ref="C22:G22"/>
    <mergeCell ref="C15:G15"/>
    <mergeCell ref="B1:D1"/>
    <mergeCell ref="B3:C3"/>
    <mergeCell ref="B6:D6"/>
    <mergeCell ref="B4:C4"/>
    <mergeCell ref="B7:C7"/>
    <mergeCell ref="C10:D10"/>
    <mergeCell ref="C11:D11"/>
    <mergeCell ref="C12:D12"/>
    <mergeCell ref="B9:D9"/>
  </mergeCells>
  <dataValidations xWindow="391" yWindow="600" count="3">
    <dataValidation type="date" allowBlank="1" showInputMessage="1" showErrorMessage="1" error="Si prega di compilare" promptTitle="Data del rilevamento" sqref="D7" xr:uid="{00000000-0002-0000-0100-000001000000}">
      <formula1>45292</formula1>
      <formula2>45657</formula2>
    </dataValidation>
    <dataValidation sqref="B10:B12" xr:uid="{00000000-0002-0000-0100-000002000000}"/>
    <dataValidation showInputMessage="1" showErrorMessage="1" sqref="C10" xr:uid="{4F25851D-CE23-4FB8-9EFE-97CAFF2E9584}"/>
  </dataValidations>
  <hyperlinks>
    <hyperlink ref="C17" location="'Indicatori PIC'!A1" display="KIP-Kennzahlen" xr:uid="{00000000-0004-0000-0100-000000000000}"/>
    <hyperlink ref="C20:G20" location="'Ind AIS N°2'!A1" display="IAS Kennzahl 2 &quot;Arbeitserfahrung&quot;" xr:uid="{00000000-0004-0000-0100-000002000000}"/>
    <hyperlink ref="C21:G21" location="'Ind AIS N°3'!A1" display="IAS Kennzahl 3 &quot;Bildung&quot;" xr:uid="{00000000-0004-0000-0100-000003000000}"/>
    <hyperlink ref="C22:G22" location="'Ind AIS N°4'!A1" display="IAS Kennzahl 4 &quot;Alphabetisierung&quot;" xr:uid="{00000000-0004-0000-0100-000004000000}"/>
    <hyperlink ref="C23:G23" location="'Ind AIS N°5'!A1" display="IAS Kennzahl 5 &quot;Potenzial&quot;" xr:uid="{00000000-0004-0000-0100-000005000000}"/>
    <hyperlink ref="C25:G25" location="'Ind AIS N°7'!A1" display="IAS Kennzahl 7 &quot;Sprachförderung Erwachsene&quot;" xr:uid="{00000000-0004-0000-0100-000006000000}"/>
    <hyperlink ref="C27:G27" location="'Ind AIS N°9'!A1" display="IAS Kennzahl 9 &quot;Sprachförderung Vorschulkinder&quot;" xr:uid="{00000000-0004-0000-0100-000007000000}"/>
    <hyperlink ref="C28:G28" location="'Ind AIS N°11a'!A1" display="IAS Kennzahl 11a &quot;Förderung Ausbildungsfähigkeit 16-25-Jährige&quot;" xr:uid="{00000000-0004-0000-0100-000008000000}"/>
    <hyperlink ref="C29:G29" location="'Ind AIS N°11b'!A1" display="IAS Kennzahl 11b &quot;Förderung Arbeitsmarktfähigkeit 26-55-Jährige&quot;" xr:uid="{00000000-0004-0000-0100-000009000000}"/>
    <hyperlink ref="C30:G30" location="'Ind AIS N°14'!A1" display="IAS Kennzahl 14 &quot;Zusammenleben&quot;" xr:uid="{00000000-0004-0000-0100-00000A000000}"/>
    <hyperlink ref="C18:G18" location="'Sintesi Indicatori AIS'!A1" display="'Sintesi Indicatori AIS'!A1" xr:uid="{00000000-0004-0000-0100-00000C000000}"/>
    <hyperlink ref="C19:G19" location="'Ind AIS N°1'!A1" display="'Ind AIS N°1'!A1" xr:uid="{00000000-0004-0000-0100-00000D000000}"/>
    <hyperlink ref="C24:G24" location="'Ind AIS N°6'!A1" display="'Ind AIS N°6'!A1" xr:uid="{00000000-0004-0000-0100-00000E000000}"/>
    <hyperlink ref="C26:G26" location="'Ind AIS N°8'!A1" display="IAS Kennzahl 8 &quot;Sprachniveau Erwachsene&quot;" xr:uid="{00000000-0004-0000-0100-00000F000000}"/>
  </hyperlinks>
  <pageMargins left="0.70866141732283472" right="0.70866141732283472" top="1.1811023622047245" bottom="0.78740157480314965" header="0.31496062992125984" footer="0.31496062992125984"/>
  <pageSetup paperSize="9" scale="63" orientation="portrait" horizontalDpi="90" verticalDpi="90" r:id="rId2"/>
  <headerFooter>
    <oddHeader>&amp;LKennzahlenraster KIP IAS&amp;R&amp;G</oddHeader>
    <oddFooter>&amp;L&amp;A&amp;R&amp;P</oddFooter>
  </headerFooter>
  <legacyDrawingHF r:id="rId3"/>
  <extLst>
    <ext xmlns:x14="http://schemas.microsoft.com/office/spreadsheetml/2009/9/main" uri="{CCE6A557-97BC-4b89-ADB6-D9C93CAAB3DF}">
      <x14:dataValidations xmlns:xm="http://schemas.microsoft.com/office/excel/2006/main" xWindow="391" yWindow="600" count="1">
        <x14:dataValidation type="list" allowBlank="1" xr:uid="{00000000-0002-0000-0100-000003000000}">
          <x14:formula1>
            <xm:f>Dropdownlisten!$A$3:$A$29</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9" tint="0.39997558519241921"/>
    <pageSetUpPr fitToPage="1"/>
  </sheetPr>
  <dimension ref="B1:K12"/>
  <sheetViews>
    <sheetView showGridLines="0" zoomScale="70" zoomScaleNormal="70" workbookViewId="0">
      <selection activeCell="J11" sqref="J11:K11"/>
    </sheetView>
  </sheetViews>
  <sheetFormatPr baseColWidth="10" defaultColWidth="11" defaultRowHeight="14" x14ac:dyDescent="0.3"/>
  <cols>
    <col min="1" max="1" width="2.08203125" style="182" customWidth="1"/>
    <col min="2" max="2" width="4.08203125" style="182" customWidth="1"/>
    <col min="3" max="4" width="11" style="182"/>
    <col min="5" max="5" width="12.75" style="182" customWidth="1"/>
    <col min="6" max="6" width="34.5" style="220" customWidth="1"/>
    <col min="7" max="7" width="79.58203125" style="182" customWidth="1"/>
    <col min="8" max="9" width="14.08203125" style="182" customWidth="1"/>
    <col min="10" max="10" width="32.58203125" style="182" customWidth="1"/>
    <col min="11" max="11" width="51.83203125" style="182" customWidth="1"/>
    <col min="12" max="12" width="2.08203125" style="182" customWidth="1"/>
    <col min="13" max="16384" width="11" style="182"/>
  </cols>
  <sheetData>
    <row r="1" spans="2:11" ht="28" x14ac:dyDescent="0.6">
      <c r="B1" s="403" t="s">
        <v>50</v>
      </c>
      <c r="C1" s="404"/>
      <c r="D1" s="404"/>
      <c r="E1" s="404"/>
      <c r="F1" s="405"/>
    </row>
    <row r="2" spans="2:11" ht="28.5" customHeight="1" x14ac:dyDescent="0.5">
      <c r="B2" s="399" t="s">
        <v>42</v>
      </c>
      <c r="C2" s="400"/>
      <c r="D2" s="400"/>
      <c r="E2" s="400"/>
      <c r="F2" s="257" t="str">
        <f>Indice!D4</f>
        <v>CH</v>
      </c>
    </row>
    <row r="3" spans="2:11" ht="28.5" customHeight="1" thickBot="1" x14ac:dyDescent="0.35">
      <c r="B3" s="401" t="s">
        <v>51</v>
      </c>
      <c r="C3" s="402"/>
      <c r="D3" s="402"/>
      <c r="E3" s="402"/>
      <c r="F3" s="258"/>
      <c r="G3" s="183"/>
    </row>
    <row r="4" spans="2:11" ht="14.15" customHeight="1" x14ac:dyDescent="0.3">
      <c r="B4" s="184"/>
      <c r="C4" s="184"/>
      <c r="D4" s="184"/>
      <c r="E4" s="185"/>
    </row>
    <row r="5" spans="2:11" ht="14.15" customHeight="1" thickBot="1" x14ac:dyDescent="0.35">
      <c r="B5" s="408"/>
      <c r="C5" s="409"/>
      <c r="D5" s="409"/>
      <c r="E5" s="409"/>
    </row>
    <row r="6" spans="2:11" ht="50.15" customHeight="1" thickBot="1" x14ac:dyDescent="0.35">
      <c r="B6" s="259" t="s">
        <v>52</v>
      </c>
      <c r="C6" s="410" t="s">
        <v>53</v>
      </c>
      <c r="D6" s="411"/>
      <c r="E6" s="412"/>
      <c r="F6" s="186" t="s">
        <v>54</v>
      </c>
      <c r="G6" s="186" t="s">
        <v>55</v>
      </c>
      <c r="H6" s="186" t="s">
        <v>56</v>
      </c>
      <c r="I6" s="328" t="s">
        <v>182</v>
      </c>
      <c r="J6" s="413" t="s">
        <v>57</v>
      </c>
      <c r="K6" s="414"/>
    </row>
    <row r="7" spans="2:11" s="187" customFormat="1" ht="16.5" customHeight="1" thickBot="1" x14ac:dyDescent="0.35">
      <c r="B7" s="398"/>
      <c r="C7" s="398"/>
      <c r="D7" s="398"/>
      <c r="E7" s="398"/>
      <c r="F7" s="398"/>
      <c r="G7" s="398"/>
      <c r="H7" s="398"/>
      <c r="I7" s="398"/>
      <c r="J7" s="398"/>
      <c r="K7" s="398"/>
    </row>
    <row r="8" spans="2:11" ht="183" customHeight="1" x14ac:dyDescent="0.3">
      <c r="B8" s="260">
        <v>1</v>
      </c>
      <c r="C8" s="417" t="s">
        <v>58</v>
      </c>
      <c r="D8" s="418"/>
      <c r="E8" s="418"/>
      <c r="F8" s="261" t="s">
        <v>183</v>
      </c>
      <c r="G8" s="262" t="s">
        <v>184</v>
      </c>
      <c r="H8" s="325"/>
      <c r="I8" s="263" t="s">
        <v>32</v>
      </c>
      <c r="J8" s="423"/>
      <c r="K8" s="424"/>
    </row>
    <row r="9" spans="2:11" ht="70" x14ac:dyDescent="0.3">
      <c r="B9" s="264">
        <v>2</v>
      </c>
      <c r="C9" s="419" t="s">
        <v>185</v>
      </c>
      <c r="D9" s="420"/>
      <c r="E9" s="420"/>
      <c r="F9" s="221" t="s">
        <v>195</v>
      </c>
      <c r="G9" s="188" t="s">
        <v>59</v>
      </c>
      <c r="H9" s="324"/>
      <c r="I9" s="326" t="s">
        <v>32</v>
      </c>
      <c r="J9" s="406"/>
      <c r="K9" s="407"/>
    </row>
    <row r="10" spans="2:11" ht="101.25" customHeight="1" x14ac:dyDescent="0.3">
      <c r="B10" s="264">
        <v>3</v>
      </c>
      <c r="C10" s="419" t="s">
        <v>60</v>
      </c>
      <c r="D10" s="420"/>
      <c r="E10" s="420"/>
      <c r="F10" s="221" t="s">
        <v>197</v>
      </c>
      <c r="G10" s="188" t="s">
        <v>61</v>
      </c>
      <c r="H10" s="324"/>
      <c r="I10" s="92" t="s">
        <v>32</v>
      </c>
      <c r="J10" s="406"/>
      <c r="K10" s="407"/>
    </row>
    <row r="11" spans="2:11" ht="126" customHeight="1" x14ac:dyDescent="0.3">
      <c r="B11" s="264">
        <v>4</v>
      </c>
      <c r="C11" s="419" t="s">
        <v>62</v>
      </c>
      <c r="D11" s="420"/>
      <c r="E11" s="420"/>
      <c r="F11" s="221" t="s">
        <v>194</v>
      </c>
      <c r="G11" s="189" t="s">
        <v>193</v>
      </c>
      <c r="H11" s="324"/>
      <c r="I11" s="92" t="s">
        <v>32</v>
      </c>
      <c r="J11" s="406"/>
      <c r="K11" s="407"/>
    </row>
    <row r="12" spans="2:11" ht="187.5" customHeight="1" thickBot="1" x14ac:dyDescent="0.35">
      <c r="B12" s="265">
        <v>5</v>
      </c>
      <c r="C12" s="421" t="s">
        <v>63</v>
      </c>
      <c r="D12" s="422"/>
      <c r="E12" s="422"/>
      <c r="F12" s="266" t="s">
        <v>196</v>
      </c>
      <c r="G12" s="267" t="s">
        <v>186</v>
      </c>
      <c r="H12" s="327"/>
      <c r="I12" s="268" t="s">
        <v>32</v>
      </c>
      <c r="J12" s="415"/>
      <c r="K12" s="416"/>
    </row>
  </sheetData>
  <sheetProtection algorithmName="SHA-512" hashValue="oUoMtNIoZnhT7gq4lwOhwFczSzHbrFYYJq8487qhBEza+mCcjj4gq7vzBcc4vG9e2NZ+kL/y444kWHN7m5cZtg==" saltValue="cNNTRF4eknqBVjL8ijrX4w==" spinCount="100000" sheet="1" selectLockedCells="1"/>
  <customSheetViews>
    <customSheetView guid="{168849A9-FED9-4458-942F-290616B3A25C}" scale="85" showPageBreaks="1" showGridLines="0" fitToPage="1" printArea="1">
      <selection activeCell="F2" sqref="F2"/>
      <pageMargins left="0.70866141732283472" right="0.70866141732283472" top="0.78740157480314965" bottom="0.78740157480314965" header="0.31496062992125984" footer="0.31496062992125984"/>
      <pageSetup paperSize="9" scale="48" fitToHeight="0" orientation="landscape" r:id="rId1"/>
      <headerFooter>
        <oddHeader>&amp;LKennzahlenraster KIP / IAS&amp;R&amp;G</oddHeader>
        <oddFooter>&amp;L&amp;A&amp;R&amp;P</oddFooter>
      </headerFooter>
    </customSheetView>
  </customSheetViews>
  <mergeCells count="17">
    <mergeCell ref="J12:K12"/>
    <mergeCell ref="J10:K10"/>
    <mergeCell ref="C8:E8"/>
    <mergeCell ref="C9:E9"/>
    <mergeCell ref="C11:E11"/>
    <mergeCell ref="C12:E12"/>
    <mergeCell ref="C10:E10"/>
    <mergeCell ref="J8:K8"/>
    <mergeCell ref="J9:K9"/>
    <mergeCell ref="B7:K7"/>
    <mergeCell ref="B2:E2"/>
    <mergeCell ref="B3:E3"/>
    <mergeCell ref="B1:F1"/>
    <mergeCell ref="J11:K11"/>
    <mergeCell ref="B5:E5"/>
    <mergeCell ref="C6:E6"/>
    <mergeCell ref="J6:K6"/>
  </mergeCells>
  <dataValidations count="2">
    <dataValidation type="whole" operator="greaterThanOrEqual" allowBlank="1" showInputMessage="1" showErrorMessage="1" errorTitle="Fehler" error="Solo i numeri interi e positivi sono validi (0, 200, etc.). " sqref="H8:H12" xr:uid="{00000000-0002-0000-0200-000000000000}">
      <formula1>0</formula1>
    </dataValidation>
    <dataValidation allowBlank="1" showInputMessage="1" showErrorMessage="1" errorTitle="Data del rilevamento" error="Si prega di compilare" promptTitle="Data del rilevamento" prompt="Si prega di compilare" sqref="F3" xr:uid="{00000000-0002-0000-0200-000001000000}"/>
  </dataValidations>
  <pageMargins left="0.70866141732283472" right="0.70866141732283472" top="0.78740157480314965" bottom="0.78740157480314965" header="0.31496062992125984" footer="0.31496062992125984"/>
  <pageSetup paperSize="9" scale="48" fitToHeight="0" orientation="landscape" r:id="rId2"/>
  <headerFooter>
    <oddFooter>&amp;L&amp;A&amp;R&amp;P</oddFooter>
  </headerFooter>
  <extLst>
    <ext xmlns:x14="http://schemas.microsoft.com/office/spreadsheetml/2009/9/main" uri="{CCE6A557-97BC-4b89-ADB6-D9C93CAAB3DF}">
      <x14:dataValidations xmlns:xm="http://schemas.microsoft.com/office/excel/2006/main" count="1">
        <x14:dataValidation type="list" operator="greaterThanOrEqual" showInputMessage="1" showErrorMessage="1" errorTitle="Fehler" error="Solo i numeri interi e positivi sono validi (0, 200, etc.). " xr:uid="{E419B9CF-2F1C-4588-B20C-EAA002078699}">
          <x14:formula1>
            <xm:f>Dropdownlisten!$C$9:$C$12</xm:f>
          </x14:formula1>
          <xm:sqref>I8:I12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3" tint="0.39997558519241921"/>
    <pageSetUpPr fitToPage="1"/>
  </sheetPr>
  <dimension ref="A1:V34"/>
  <sheetViews>
    <sheetView showGridLines="0" zoomScale="70" zoomScaleNormal="70" zoomScalePageLayoutView="90" workbookViewId="0">
      <selection activeCell="G5" sqref="G5"/>
    </sheetView>
  </sheetViews>
  <sheetFormatPr baseColWidth="10" defaultColWidth="11" defaultRowHeight="14" x14ac:dyDescent="0.3"/>
  <cols>
    <col min="1" max="1" width="2.08203125" style="1" customWidth="1"/>
    <col min="2" max="2" width="3.08203125" style="1" customWidth="1"/>
    <col min="3" max="3" width="4.08203125" style="1" customWidth="1"/>
    <col min="4" max="4" width="32.08203125" style="1" customWidth="1"/>
    <col min="5" max="5" width="41.58203125" style="1" customWidth="1"/>
    <col min="6" max="6" width="20.08203125" style="1" customWidth="1"/>
    <col min="7" max="15" width="15.83203125" style="1" customWidth="1"/>
    <col min="16" max="16" width="2.08203125" style="1" customWidth="1"/>
    <col min="17" max="16384" width="11" style="1"/>
  </cols>
  <sheetData>
    <row r="1" spans="2:22" ht="28" x14ac:dyDescent="0.3">
      <c r="B1" s="425" t="s">
        <v>64</v>
      </c>
      <c r="C1" s="426"/>
      <c r="D1" s="426"/>
      <c r="E1" s="427"/>
    </row>
    <row r="2" spans="2:22" ht="28.5" customHeight="1" x14ac:dyDescent="0.5">
      <c r="B2" s="464" t="s">
        <v>42</v>
      </c>
      <c r="C2" s="464"/>
      <c r="D2" s="464"/>
      <c r="E2" s="95" t="str">
        <f>'Indicatori PIC'!F2</f>
        <v>CH</v>
      </c>
    </row>
    <row r="3" spans="2:22" ht="14.15" customHeight="1" x14ac:dyDescent="0.3">
      <c r="B3" s="7"/>
      <c r="C3" s="7"/>
      <c r="D3" s="7"/>
      <c r="E3" s="91"/>
      <c r="F3" s="91"/>
    </row>
    <row r="4" spans="2:22" ht="14.15" customHeight="1" thickBot="1" x14ac:dyDescent="0.35"/>
    <row r="5" spans="2:22" s="3" customFormat="1" ht="62.5" customHeight="1" thickBot="1" x14ac:dyDescent="0.35">
      <c r="B5" s="8" t="s">
        <v>65</v>
      </c>
      <c r="C5" s="9" t="s">
        <v>52</v>
      </c>
      <c r="D5" s="25" t="s">
        <v>66</v>
      </c>
      <c r="E5" s="443" t="s">
        <v>54</v>
      </c>
      <c r="F5" s="444"/>
      <c r="G5" s="67" t="s">
        <v>67</v>
      </c>
      <c r="H5" s="68" t="s">
        <v>68</v>
      </c>
      <c r="I5" s="69" t="s">
        <v>69</v>
      </c>
      <c r="J5" s="74" t="s">
        <v>177</v>
      </c>
      <c r="K5" s="74" t="s">
        <v>70</v>
      </c>
      <c r="L5" s="75" t="s">
        <v>71</v>
      </c>
      <c r="M5" s="70" t="s">
        <v>72</v>
      </c>
      <c r="N5" s="454" t="s">
        <v>73</v>
      </c>
      <c r="O5" s="455"/>
      <c r="P5" s="2"/>
      <c r="Q5" s="2"/>
      <c r="R5" s="2"/>
      <c r="S5" s="2"/>
      <c r="T5" s="2"/>
      <c r="U5" s="2"/>
      <c r="V5" s="2"/>
    </row>
    <row r="6" spans="2:22" s="4" customFormat="1" ht="14.15" customHeight="1" thickBot="1" x14ac:dyDescent="0.35">
      <c r="B6" s="214"/>
      <c r="C6" s="442"/>
      <c r="D6" s="442"/>
      <c r="E6" s="442"/>
      <c r="F6" s="442"/>
      <c r="G6" s="442"/>
      <c r="H6" s="442"/>
      <c r="I6" s="442"/>
      <c r="J6" s="442"/>
      <c r="K6" s="442"/>
      <c r="L6" s="442"/>
      <c r="M6" s="442"/>
      <c r="P6" s="5"/>
      <c r="Q6" s="5"/>
      <c r="R6" s="5"/>
      <c r="S6" s="5"/>
      <c r="T6" s="5"/>
      <c r="U6" s="5"/>
      <c r="V6" s="5"/>
    </row>
    <row r="7" spans="2:22" s="200" customFormat="1" ht="80.150000000000006" customHeight="1" thickBot="1" x14ac:dyDescent="0.35">
      <c r="B7" s="190"/>
      <c r="C7" s="191"/>
      <c r="D7" s="192" t="s">
        <v>74</v>
      </c>
      <c r="E7" s="193"/>
      <c r="F7" s="194"/>
      <c r="G7" s="195"/>
      <c r="H7" s="196"/>
      <c r="I7" s="196"/>
      <c r="J7" s="197"/>
      <c r="K7" s="197"/>
      <c r="L7" s="198"/>
      <c r="M7" s="199"/>
      <c r="N7" s="201" t="s">
        <v>114</v>
      </c>
      <c r="O7" s="202" t="s">
        <v>115</v>
      </c>
    </row>
    <row r="8" spans="2:22" s="6" customFormat="1" ht="80.150000000000006" customHeight="1" thickBot="1" x14ac:dyDescent="0.35">
      <c r="B8" s="32" t="s">
        <v>75</v>
      </c>
      <c r="C8" s="33">
        <v>1</v>
      </c>
      <c r="D8" s="34" t="s">
        <v>76</v>
      </c>
      <c r="E8" s="35" t="s">
        <v>77</v>
      </c>
      <c r="F8" s="141"/>
      <c r="G8" s="62">
        <f>SUM(H8:I8,K8)</f>
        <v>0</v>
      </c>
      <c r="H8" s="36">
        <f>'Ind AIS N°1'!D8</f>
        <v>0</v>
      </c>
      <c r="I8" s="36">
        <f>'Ind AIS N°1'!E8</f>
        <v>0</v>
      </c>
      <c r="J8" s="76">
        <f>'Ind AIS N°1'!F8</f>
        <v>0</v>
      </c>
      <c r="K8" s="37">
        <f>'Ind AIS N°1'!G8</f>
        <v>0</v>
      </c>
      <c r="L8" s="36">
        <f>'Ind AIS N°1'!H8</f>
        <v>0</v>
      </c>
      <c r="M8" s="37">
        <f>'Ind AIS N°1'!I8</f>
        <v>0</v>
      </c>
      <c r="N8" s="456"/>
      <c r="O8" s="457"/>
    </row>
    <row r="9" spans="2:22" s="6" customFormat="1" ht="45" customHeight="1" x14ac:dyDescent="0.3">
      <c r="B9" s="428" t="s">
        <v>78</v>
      </c>
      <c r="C9" s="445">
        <v>2</v>
      </c>
      <c r="D9" s="450" t="s">
        <v>79</v>
      </c>
      <c r="E9" s="439" t="s">
        <v>80</v>
      </c>
      <c r="F9" s="203" t="s">
        <v>81</v>
      </c>
      <c r="G9" s="64">
        <f t="shared" ref="G9:G17" si="0">SUM(H9:I9,K9)</f>
        <v>0</v>
      </c>
      <c r="H9" s="39">
        <f>'Ind AIS N°2'!E8</f>
        <v>0</v>
      </c>
      <c r="I9" s="40">
        <f>'Ind AIS N°2'!F8</f>
        <v>0</v>
      </c>
      <c r="J9" s="77">
        <f>'Ind AIS N°2'!G8</f>
        <v>0</v>
      </c>
      <c r="K9" s="77">
        <f>'Ind AIS N°2'!H8</f>
        <v>0</v>
      </c>
      <c r="L9" s="83">
        <f>'Ind AIS N°2'!I8</f>
        <v>0</v>
      </c>
      <c r="M9" s="41">
        <f>'Ind AIS N°2'!J8</f>
        <v>0</v>
      </c>
      <c r="N9" s="458"/>
      <c r="O9" s="459"/>
    </row>
    <row r="10" spans="2:22" s="6" customFormat="1" ht="45" customHeight="1" x14ac:dyDescent="0.3">
      <c r="B10" s="465"/>
      <c r="C10" s="446"/>
      <c r="D10" s="466"/>
      <c r="E10" s="440"/>
      <c r="F10" s="204" t="s">
        <v>82</v>
      </c>
      <c r="G10" s="65">
        <f t="shared" si="0"/>
        <v>0</v>
      </c>
      <c r="H10" s="26">
        <f>'Ind AIS N°2'!E9</f>
        <v>0</v>
      </c>
      <c r="I10" s="28">
        <f>'Ind AIS N°2'!F9</f>
        <v>0</v>
      </c>
      <c r="J10" s="78">
        <f>'Ind AIS N°2'!G9</f>
        <v>0</v>
      </c>
      <c r="K10" s="78">
        <f>'Ind AIS N°2'!H9</f>
        <v>0</v>
      </c>
      <c r="L10" s="84">
        <f>'Ind AIS N°2'!I9</f>
        <v>0</v>
      </c>
      <c r="M10" s="27">
        <f>'Ind AIS N°2'!J9</f>
        <v>0</v>
      </c>
      <c r="N10" s="458"/>
      <c r="O10" s="459"/>
    </row>
    <row r="11" spans="2:22" s="6" customFormat="1" ht="45" customHeight="1" x14ac:dyDescent="0.3">
      <c r="B11" s="465"/>
      <c r="C11" s="446"/>
      <c r="D11" s="466"/>
      <c r="E11" s="440"/>
      <c r="F11" s="204" t="s">
        <v>83</v>
      </c>
      <c r="G11" s="65">
        <f t="shared" si="0"/>
        <v>0</v>
      </c>
      <c r="H11" s="26">
        <f>'Ind AIS N°2'!E10</f>
        <v>0</v>
      </c>
      <c r="I11" s="28">
        <f>'Ind AIS N°2'!F10</f>
        <v>0</v>
      </c>
      <c r="J11" s="78">
        <f>'Ind AIS N°2'!G10</f>
        <v>0</v>
      </c>
      <c r="K11" s="78">
        <f>'Ind AIS N°2'!H10</f>
        <v>0</v>
      </c>
      <c r="L11" s="84">
        <f>'Ind AIS N°2'!I10</f>
        <v>0</v>
      </c>
      <c r="M11" s="27">
        <f>'Ind AIS N°2'!J10</f>
        <v>0</v>
      </c>
      <c r="N11" s="458"/>
      <c r="O11" s="459"/>
    </row>
    <row r="12" spans="2:22" s="6" customFormat="1" ht="45" customHeight="1" thickBot="1" x14ac:dyDescent="0.35">
      <c r="B12" s="429"/>
      <c r="C12" s="447"/>
      <c r="D12" s="451"/>
      <c r="E12" s="441"/>
      <c r="F12" s="205" t="s">
        <v>84</v>
      </c>
      <c r="G12" s="66">
        <f t="shared" si="0"/>
        <v>0</v>
      </c>
      <c r="H12" s="29">
        <f>'Ind AIS N°2'!E11</f>
        <v>0</v>
      </c>
      <c r="I12" s="30">
        <f>'Ind AIS N°2'!F11</f>
        <v>0</v>
      </c>
      <c r="J12" s="79">
        <f>'Ind AIS N°2'!G11</f>
        <v>0</v>
      </c>
      <c r="K12" s="79">
        <f>'Ind AIS N°2'!H11</f>
        <v>0</v>
      </c>
      <c r="L12" s="85">
        <f>'Ind AIS N°2'!I11</f>
        <v>0</v>
      </c>
      <c r="M12" s="31">
        <f>'Ind AIS N°2'!J11</f>
        <v>0</v>
      </c>
      <c r="N12" s="458"/>
      <c r="O12" s="459"/>
    </row>
    <row r="13" spans="2:22" s="6" customFormat="1" ht="45" customHeight="1" x14ac:dyDescent="0.3">
      <c r="B13" s="428" t="s">
        <v>78</v>
      </c>
      <c r="C13" s="448">
        <v>3</v>
      </c>
      <c r="D13" s="450" t="s">
        <v>85</v>
      </c>
      <c r="E13" s="462" t="s">
        <v>86</v>
      </c>
      <c r="F13" s="38" t="s">
        <v>87</v>
      </c>
      <c r="G13" s="64">
        <f>SUM(H13:I13,K13)</f>
        <v>0</v>
      </c>
      <c r="H13" s="39">
        <f>'Ind AIS N°3'!E8</f>
        <v>0</v>
      </c>
      <c r="I13" s="40">
        <f>'Ind AIS N°3'!F8</f>
        <v>0</v>
      </c>
      <c r="J13" s="77">
        <f>'Ind AIS N°3'!G8</f>
        <v>0</v>
      </c>
      <c r="K13" s="77">
        <f>'Ind AIS N°3'!H8</f>
        <v>0</v>
      </c>
      <c r="L13" s="83">
        <f>'Ind AIS N°3'!I8</f>
        <v>0</v>
      </c>
      <c r="M13" s="41">
        <f>'Ind AIS N°3'!J8</f>
        <v>0</v>
      </c>
      <c r="N13" s="458"/>
      <c r="O13" s="459"/>
    </row>
    <row r="14" spans="2:22" s="6" customFormat="1" ht="45" customHeight="1" thickBot="1" x14ac:dyDescent="0.35">
      <c r="B14" s="429"/>
      <c r="C14" s="449"/>
      <c r="D14" s="451"/>
      <c r="E14" s="463"/>
      <c r="F14" s="10" t="s">
        <v>88</v>
      </c>
      <c r="G14" s="66">
        <f t="shared" si="0"/>
        <v>0</v>
      </c>
      <c r="H14" s="29">
        <f>'Ind AIS N°3'!E9</f>
        <v>0</v>
      </c>
      <c r="I14" s="30">
        <f>'Ind AIS N°3'!F9</f>
        <v>0</v>
      </c>
      <c r="J14" s="79">
        <f>'Ind AIS N°3'!G9</f>
        <v>0</v>
      </c>
      <c r="K14" s="79">
        <f>'Ind AIS N°3'!H9</f>
        <v>0</v>
      </c>
      <c r="L14" s="85">
        <f>'Ind AIS N°3'!I9</f>
        <v>0</v>
      </c>
      <c r="M14" s="31">
        <f>'Ind AIS N°3'!J9</f>
        <v>0</v>
      </c>
      <c r="N14" s="458"/>
      <c r="O14" s="459"/>
    </row>
    <row r="15" spans="2:22" s="6" customFormat="1" ht="80.150000000000006" customHeight="1" thickBot="1" x14ac:dyDescent="0.35">
      <c r="B15" s="32" t="s">
        <v>78</v>
      </c>
      <c r="C15" s="42">
        <v>4</v>
      </c>
      <c r="D15" s="34" t="s">
        <v>89</v>
      </c>
      <c r="E15" s="35" t="s">
        <v>90</v>
      </c>
      <c r="F15" s="141"/>
      <c r="G15" s="62">
        <f t="shared" si="0"/>
        <v>0</v>
      </c>
      <c r="H15" s="36">
        <f>'Ind AIS N°4'!D8</f>
        <v>0</v>
      </c>
      <c r="I15" s="43">
        <f>'Ind AIS N°4'!E8</f>
        <v>0</v>
      </c>
      <c r="J15" s="80">
        <f>'Ind AIS N°4'!F8</f>
        <v>0</v>
      </c>
      <c r="K15" s="80">
        <f>'Ind AIS N°4'!G8</f>
        <v>0</v>
      </c>
      <c r="L15" s="82">
        <f>'Ind AIS N°4'!H8</f>
        <v>0</v>
      </c>
      <c r="M15" s="37">
        <f>'Ind AIS N°4'!I8</f>
        <v>0</v>
      </c>
      <c r="N15" s="458"/>
      <c r="O15" s="459"/>
    </row>
    <row r="16" spans="2:22" s="6" customFormat="1" ht="55" customHeight="1" x14ac:dyDescent="0.3">
      <c r="B16" s="428" t="s">
        <v>78</v>
      </c>
      <c r="C16" s="437">
        <v>5</v>
      </c>
      <c r="D16" s="435" t="s">
        <v>91</v>
      </c>
      <c r="E16" s="433" t="s">
        <v>92</v>
      </c>
      <c r="F16" s="44" t="s">
        <v>93</v>
      </c>
      <c r="G16" s="64">
        <f>SUM(H16:I16,K16)</f>
        <v>0</v>
      </c>
      <c r="H16" s="48">
        <f>'Ind AIS N°5'!E8</f>
        <v>0</v>
      </c>
      <c r="I16" s="45">
        <f>'Ind AIS N°5'!F8</f>
        <v>0</v>
      </c>
      <c r="J16" s="81">
        <f>'Ind AIS N°5'!G8</f>
        <v>0</v>
      </c>
      <c r="K16" s="81">
        <f>'Ind AIS N°5'!H8</f>
        <v>0</v>
      </c>
      <c r="L16" s="86">
        <f>'Ind AIS N°5'!I8</f>
        <v>0</v>
      </c>
      <c r="M16" s="46">
        <f>'Ind AIS N°5'!J8</f>
        <v>0</v>
      </c>
      <c r="N16" s="458"/>
      <c r="O16" s="459"/>
    </row>
    <row r="17" spans="1:16" s="6" customFormat="1" ht="55" customHeight="1" thickBot="1" x14ac:dyDescent="0.35">
      <c r="B17" s="429"/>
      <c r="C17" s="438"/>
      <c r="D17" s="436"/>
      <c r="E17" s="434"/>
      <c r="F17" s="10" t="s">
        <v>94</v>
      </c>
      <c r="G17" s="66">
        <f t="shared" si="0"/>
        <v>0</v>
      </c>
      <c r="H17" s="29">
        <f>'Ind AIS N°5'!E9</f>
        <v>0</v>
      </c>
      <c r="I17" s="30">
        <f>'Ind AIS N°5'!F9</f>
        <v>0</v>
      </c>
      <c r="J17" s="79">
        <f>'Ind AIS N°5'!G9</f>
        <v>0</v>
      </c>
      <c r="K17" s="79">
        <f>'Ind AIS N°5'!H9</f>
        <v>0</v>
      </c>
      <c r="L17" s="85">
        <f>'Ind AIS N°5'!I9</f>
        <v>0</v>
      </c>
      <c r="M17" s="31">
        <f>'Ind AIS N°5'!J9</f>
        <v>0</v>
      </c>
      <c r="N17" s="460"/>
      <c r="O17" s="461"/>
    </row>
    <row r="18" spans="1:16" ht="14.5" thickBot="1" x14ac:dyDescent="0.35">
      <c r="B18" s="431"/>
      <c r="C18" s="431"/>
      <c r="D18" s="431"/>
      <c r="E18" s="11"/>
      <c r="F18" s="11"/>
      <c r="G18" s="11"/>
      <c r="H18" s="11"/>
      <c r="I18" s="11"/>
      <c r="J18" s="11"/>
      <c r="K18" s="11"/>
      <c r="L18" s="11"/>
      <c r="M18" s="11"/>
    </row>
    <row r="19" spans="1:16" ht="82.5" customHeight="1" thickBot="1" x14ac:dyDescent="0.35">
      <c r="B19" s="51"/>
      <c r="C19" s="294"/>
      <c r="D19" s="57" t="s">
        <v>95</v>
      </c>
      <c r="E19" s="58"/>
      <c r="F19" s="59"/>
      <c r="G19" s="63"/>
      <c r="H19" s="60"/>
      <c r="I19" s="55"/>
      <c r="J19" s="87"/>
      <c r="K19" s="87"/>
      <c r="L19" s="88"/>
      <c r="M19" s="56"/>
      <c r="N19" s="329" t="s">
        <v>114</v>
      </c>
      <c r="O19" s="202" t="s">
        <v>115</v>
      </c>
    </row>
    <row r="20" spans="1:16" s="6" customFormat="1" ht="80.150000000000006" customHeight="1" thickBot="1" x14ac:dyDescent="0.35">
      <c r="B20" s="32" t="s">
        <v>75</v>
      </c>
      <c r="C20" s="33">
        <v>6</v>
      </c>
      <c r="D20" s="34" t="s">
        <v>96</v>
      </c>
      <c r="E20" s="35" t="s">
        <v>97</v>
      </c>
      <c r="F20" s="141"/>
      <c r="G20" s="62">
        <f>SUM(H20:I20,K20)</f>
        <v>0</v>
      </c>
      <c r="H20" s="36">
        <f>'Ind AIS N°6'!D8</f>
        <v>0</v>
      </c>
      <c r="I20" s="36">
        <f>'Ind AIS N°6'!E8</f>
        <v>0</v>
      </c>
      <c r="J20" s="76">
        <f>'Ind AIS N°6'!F8</f>
        <v>0</v>
      </c>
      <c r="K20" s="76">
        <f>'Ind AIS N°6'!G8</f>
        <v>0</v>
      </c>
      <c r="L20" s="82">
        <f>'Ind AIS N°6'!H8</f>
        <v>0</v>
      </c>
      <c r="M20" s="47">
        <f>'Ind AIS N°6'!I8</f>
        <v>0</v>
      </c>
      <c r="N20" s="452"/>
      <c r="O20" s="453"/>
    </row>
    <row r="21" spans="1:16" ht="14.5" thickBot="1" x14ac:dyDescent="0.35">
      <c r="A21" s="215"/>
      <c r="B21" s="432"/>
      <c r="C21" s="432"/>
      <c r="D21" s="432"/>
      <c r="E21" s="432"/>
      <c r="F21" s="432"/>
      <c r="G21" s="432"/>
      <c r="H21" s="432"/>
      <c r="I21" s="432"/>
      <c r="J21" s="432"/>
      <c r="K21" s="432"/>
      <c r="L21" s="432"/>
      <c r="M21" s="432"/>
      <c r="N21" s="215"/>
      <c r="O21" s="215"/>
      <c r="P21" s="215"/>
    </row>
    <row r="22" spans="1:16" ht="76.5" customHeight="1" thickBot="1" x14ac:dyDescent="0.35">
      <c r="B22" s="51"/>
      <c r="C22" s="294"/>
      <c r="D22" s="57" t="s">
        <v>98</v>
      </c>
      <c r="E22" s="58"/>
      <c r="F22" s="59"/>
      <c r="G22" s="63"/>
      <c r="H22" s="60"/>
      <c r="I22" s="55"/>
      <c r="J22" s="87"/>
      <c r="K22" s="87"/>
      <c r="L22" s="88"/>
      <c r="M22" s="56"/>
      <c r="N22" s="329" t="s">
        <v>114</v>
      </c>
      <c r="O22" s="202" t="s">
        <v>115</v>
      </c>
    </row>
    <row r="23" spans="1:16" s="6" customFormat="1" ht="80.150000000000006" customHeight="1" thickBot="1" x14ac:dyDescent="0.35">
      <c r="B23" s="32" t="s">
        <v>75</v>
      </c>
      <c r="C23" s="42">
        <v>7</v>
      </c>
      <c r="D23" s="34" t="s">
        <v>99</v>
      </c>
      <c r="E23" s="35" t="s">
        <v>100</v>
      </c>
      <c r="F23" s="141"/>
      <c r="G23" s="62">
        <f t="shared" ref="G23" si="1">SUM(H23:I23,K23)</f>
        <v>0</v>
      </c>
      <c r="H23" s="36">
        <f>'Ind AIS N°7'!D8</f>
        <v>0</v>
      </c>
      <c r="I23" s="36">
        <f>'Ind AIS N°7'!E8</f>
        <v>0</v>
      </c>
      <c r="J23" s="43">
        <f>'Ind AIS N°7'!F8</f>
        <v>0</v>
      </c>
      <c r="K23" s="76">
        <f>'Ind AIS N°7'!G8</f>
        <v>0</v>
      </c>
      <c r="L23" s="82">
        <f>'Ind AIS N°7'!H8</f>
        <v>0</v>
      </c>
      <c r="M23" s="47">
        <f>'Ind AIS N°7'!I8</f>
        <v>0</v>
      </c>
      <c r="N23" s="82" t="str">
        <f>'Ind AIS N°7'!J8</f>
        <v>…..</v>
      </c>
      <c r="O23" s="47" t="str">
        <f>'Ind AIS N°7'!K8</f>
        <v>…..</v>
      </c>
    </row>
    <row r="24" spans="1:16" s="6" customFormat="1" ht="95.15" customHeight="1" thickBot="1" x14ac:dyDescent="0.35">
      <c r="B24" s="32" t="s">
        <v>101</v>
      </c>
      <c r="C24" s="33">
        <v>8</v>
      </c>
      <c r="D24" s="34" t="s">
        <v>102</v>
      </c>
      <c r="E24" s="35" t="s">
        <v>103</v>
      </c>
      <c r="F24" s="141"/>
      <c r="G24" s="62">
        <f>SUM(H24:I24,K24)</f>
        <v>0</v>
      </c>
      <c r="H24" s="36">
        <f>'Ind AIS N°8'!D8</f>
        <v>0</v>
      </c>
      <c r="I24" s="36">
        <f>'Ind AIS N°8'!E8</f>
        <v>0</v>
      </c>
      <c r="J24" s="350"/>
      <c r="K24" s="76">
        <f>'Ind AIS N°8'!F8</f>
        <v>0</v>
      </c>
      <c r="L24" s="82">
        <f>'Ind AIS N°8'!G8</f>
        <v>0</v>
      </c>
      <c r="M24" s="47">
        <f>'Ind AIS N°8'!H8</f>
        <v>0</v>
      </c>
      <c r="N24" s="141"/>
      <c r="O24" s="47" t="str" cm="1">
        <f t="array" ref="O24:P24">'Ind AIS N°8'!I8:J8</f>
        <v>…..</v>
      </c>
      <c r="P24" s="349">
        <v>0</v>
      </c>
    </row>
    <row r="25" spans="1:16" ht="14.5" thickBot="1" x14ac:dyDescent="0.35">
      <c r="B25" s="431"/>
      <c r="C25" s="431"/>
      <c r="D25" s="431"/>
      <c r="E25" s="431"/>
      <c r="F25" s="431"/>
      <c r="G25" s="431"/>
      <c r="H25" s="431"/>
      <c r="I25" s="431"/>
      <c r="J25" s="431"/>
      <c r="K25" s="431"/>
      <c r="L25" s="431"/>
      <c r="M25" s="431"/>
    </row>
    <row r="26" spans="1:16" ht="80.150000000000006" customHeight="1" thickBot="1" x14ac:dyDescent="0.35">
      <c r="B26" s="51"/>
      <c r="C26" s="294"/>
      <c r="D26" s="57" t="s">
        <v>104</v>
      </c>
      <c r="E26" s="58"/>
      <c r="F26" s="59"/>
      <c r="G26" s="63"/>
      <c r="H26" s="60"/>
      <c r="I26" s="55"/>
      <c r="J26" s="87"/>
      <c r="K26" s="87"/>
      <c r="L26" s="88"/>
      <c r="M26" s="56"/>
      <c r="N26" s="329"/>
      <c r="O26" s="291" t="s">
        <v>115</v>
      </c>
    </row>
    <row r="27" spans="1:16" s="6" customFormat="1" ht="80.150000000000006" customHeight="1" thickBot="1" x14ac:dyDescent="0.35">
      <c r="B27" s="73" t="s">
        <v>75</v>
      </c>
      <c r="C27" s="294">
        <v>9</v>
      </c>
      <c r="D27" s="295" t="s">
        <v>105</v>
      </c>
      <c r="E27" s="24" t="s">
        <v>106</v>
      </c>
      <c r="F27" s="142"/>
      <c r="G27" s="71">
        <f>SUM(H27:I27,K27)</f>
        <v>0</v>
      </c>
      <c r="H27" s="72">
        <f>'Ind AIS N°9'!D8</f>
        <v>0</v>
      </c>
      <c r="I27" s="72">
        <f>'Ind AIS N°9'!E8</f>
        <v>0</v>
      </c>
      <c r="J27" s="43">
        <f>'Ind AIS N°9'!F8</f>
        <v>0</v>
      </c>
      <c r="K27" s="89">
        <f>'Ind AIS N°9'!G8</f>
        <v>0</v>
      </c>
      <c r="L27" s="90">
        <f>'Ind AIS N°9'!H8</f>
        <v>0</v>
      </c>
      <c r="M27" s="89">
        <f>'Ind AIS N°9'!I8</f>
        <v>0</v>
      </c>
      <c r="N27" s="329"/>
      <c r="O27" s="37" t="str" cm="1">
        <f t="array" ref="O27:P27">'Ind AIS N°9'!J8:K8</f>
        <v>…..</v>
      </c>
      <c r="P27" s="349">
        <v>0</v>
      </c>
    </row>
    <row r="28" spans="1:16" ht="14.5" thickBot="1" x14ac:dyDescent="0.35">
      <c r="B28" s="430"/>
      <c r="C28" s="430"/>
      <c r="D28" s="430"/>
      <c r="E28" s="430"/>
      <c r="F28" s="430"/>
      <c r="G28" s="430"/>
      <c r="H28" s="430"/>
      <c r="I28" s="430"/>
      <c r="J28" s="430"/>
      <c r="K28" s="430"/>
      <c r="L28" s="430"/>
      <c r="M28" s="430"/>
    </row>
    <row r="29" spans="1:16" ht="70" customHeight="1" thickBot="1" x14ac:dyDescent="0.35">
      <c r="B29" s="51"/>
      <c r="C29" s="294"/>
      <c r="D29" s="57" t="s">
        <v>107</v>
      </c>
      <c r="E29" s="58"/>
      <c r="F29" s="59"/>
      <c r="G29" s="63"/>
      <c r="H29" s="60"/>
      <c r="I29" s="55"/>
      <c r="J29" s="87"/>
      <c r="K29" s="87"/>
      <c r="L29" s="88"/>
      <c r="M29" s="56"/>
      <c r="N29" s="329" t="s">
        <v>114</v>
      </c>
      <c r="O29" s="202" t="s">
        <v>115</v>
      </c>
    </row>
    <row r="30" spans="1:16" ht="80.150000000000006" customHeight="1" thickBot="1" x14ac:dyDescent="0.35">
      <c r="B30" s="73" t="s">
        <v>75</v>
      </c>
      <c r="C30" s="294" t="s">
        <v>1</v>
      </c>
      <c r="D30" s="49" t="s">
        <v>108</v>
      </c>
      <c r="E30" s="50" t="s">
        <v>109</v>
      </c>
      <c r="F30" s="59"/>
      <c r="G30" s="62">
        <f>SUM(H30:I30,K30)</f>
        <v>0</v>
      </c>
      <c r="H30" s="36">
        <f>'Ind AIS N°11a'!D8</f>
        <v>0</v>
      </c>
      <c r="I30" s="36">
        <f>'Ind AIS N°11a'!E8</f>
        <v>0</v>
      </c>
      <c r="J30" s="43">
        <f>'Ind AIS N°11a'!F8</f>
        <v>0</v>
      </c>
      <c r="K30" s="76">
        <f>'Ind AIS N°11a'!G8</f>
        <v>0</v>
      </c>
      <c r="L30" s="82">
        <f>'Ind AIS N°11a'!H8</f>
        <v>0</v>
      </c>
      <c r="M30" s="47">
        <f>'Ind AIS N°11a'!I8</f>
        <v>0</v>
      </c>
      <c r="N30" s="82" t="str">
        <f>'Ind AIS N°11a'!J8</f>
        <v>…..</v>
      </c>
      <c r="O30" s="47" t="str">
        <f>'Ind AIS N°11a'!K8</f>
        <v>…..</v>
      </c>
    </row>
    <row r="31" spans="1:16" ht="80.150000000000006" customHeight="1" thickBot="1" x14ac:dyDescent="0.35">
      <c r="B31" s="73" t="s">
        <v>75</v>
      </c>
      <c r="C31" s="294" t="s">
        <v>2</v>
      </c>
      <c r="D31" s="49" t="s">
        <v>110</v>
      </c>
      <c r="E31" s="50" t="s">
        <v>111</v>
      </c>
      <c r="F31" s="59"/>
      <c r="G31" s="62">
        <f t="shared" ref="G31" si="2">SUM(H31:I31,K31)</f>
        <v>0</v>
      </c>
      <c r="H31" s="36">
        <f>'Ind AIS N°11b'!D8</f>
        <v>0</v>
      </c>
      <c r="I31" s="36">
        <f>'Ind AIS N°11b'!E8</f>
        <v>0</v>
      </c>
      <c r="J31" s="43">
        <f>'Ind AIS N°11b'!F8</f>
        <v>0</v>
      </c>
      <c r="K31" s="76">
        <f>'Ind AIS N°11b'!G8</f>
        <v>0</v>
      </c>
      <c r="L31" s="82">
        <f>'Ind AIS N°11b'!H8</f>
        <v>0</v>
      </c>
      <c r="M31" s="47">
        <f>'Ind AIS N°11b'!I8</f>
        <v>0</v>
      </c>
      <c r="N31" s="82" t="str">
        <f>'Ind AIS N°11b'!J8</f>
        <v>…..</v>
      </c>
      <c r="O31" s="47" t="str">
        <f>'Ind AIS N°11b'!K8</f>
        <v>…..</v>
      </c>
    </row>
    <row r="32" spans="1:16" ht="14.5" thickBot="1" x14ac:dyDescent="0.35">
      <c r="B32" s="430"/>
      <c r="C32" s="430"/>
      <c r="D32" s="430"/>
      <c r="E32" s="430"/>
      <c r="F32" s="430"/>
      <c r="G32" s="430"/>
      <c r="H32" s="430"/>
      <c r="I32" s="430"/>
      <c r="J32" s="430"/>
      <c r="K32" s="430"/>
      <c r="L32" s="430"/>
      <c r="M32" s="430"/>
    </row>
    <row r="33" spans="2:15" ht="73.5" customHeight="1" thickBot="1" x14ac:dyDescent="0.35">
      <c r="B33" s="51"/>
      <c r="C33" s="294"/>
      <c r="D33" s="52" t="s">
        <v>112</v>
      </c>
      <c r="E33" s="53"/>
      <c r="F33" s="54"/>
      <c r="G33" s="61"/>
      <c r="H33" s="60"/>
      <c r="I33" s="55"/>
      <c r="J33" s="87"/>
      <c r="K33" s="87"/>
      <c r="L33" s="88"/>
      <c r="M33" s="56"/>
      <c r="N33" s="329" t="s">
        <v>114</v>
      </c>
      <c r="O33" s="202" t="s">
        <v>115</v>
      </c>
    </row>
    <row r="34" spans="2:15" ht="80.150000000000006" customHeight="1" thickBot="1" x14ac:dyDescent="0.35">
      <c r="B34" s="73" t="s">
        <v>75</v>
      </c>
      <c r="C34" s="294">
        <v>14</v>
      </c>
      <c r="D34" s="34" t="s">
        <v>112</v>
      </c>
      <c r="E34" s="35" t="s">
        <v>113</v>
      </c>
      <c r="F34" s="54"/>
      <c r="G34" s="62">
        <f>SUM(H34:I34,K34)</f>
        <v>0</v>
      </c>
      <c r="H34" s="36">
        <f>'Ind AIS N°14'!D8</f>
        <v>0</v>
      </c>
      <c r="I34" s="36">
        <f>'Ind AIS N°14'!E8</f>
        <v>0</v>
      </c>
      <c r="J34" s="43">
        <f>'Ind AIS N°14'!F8</f>
        <v>0</v>
      </c>
      <c r="K34" s="76">
        <f>'Ind AIS N°14'!G8</f>
        <v>0</v>
      </c>
      <c r="L34" s="82">
        <f>'Ind AIS N°14'!H8</f>
        <v>0</v>
      </c>
      <c r="M34" s="47">
        <f>'Ind AIS N°14'!I8</f>
        <v>0</v>
      </c>
      <c r="N34" s="82" t="str">
        <f>'Ind AIS N°14'!J8</f>
        <v>…..</v>
      </c>
      <c r="O34" s="47" t="str">
        <f>'Ind AIS N°14'!K8</f>
        <v>…..</v>
      </c>
    </row>
  </sheetData>
  <sheetProtection algorithmName="SHA-512" hashValue="kCj9udMncNCWid0MWbpGfFY82OjTvN3h7HRK0G+McVcCnrBzcA14HAPuwThwZNxLN83eSt8mGTo2Z4pp7K91Yg==" saltValue="QD/31WP4JR34VdfDa9xQYg==" spinCount="100000" sheet="1" selectLockedCells="1" selectUnlockedCells="1"/>
  <customSheetViews>
    <customSheetView guid="{168849A9-FED9-4458-942F-290616B3A25C}" scale="50" showPageBreaks="1" showGridLines="0" fitToPage="1" printArea="1">
      <selection activeCell="A3" sqref="A3:N3"/>
      <pageMargins left="0.70866141732283472" right="0.70866141732283472" top="1.1811023622047245" bottom="0.78740157480314965" header="0.31496062992125984" footer="0.31496062992125984"/>
      <pageSetup paperSize="8" scale="77" fitToHeight="0" orientation="landscape" cellComments="atEnd" r:id="rId1"/>
      <headerFooter>
        <oddHeader>&amp;LKennzahlenraster KIP / IAS&amp;R&amp;G</oddHeader>
        <oddFooter>&amp;L&amp;A&amp;R&amp;P</oddFooter>
      </headerFooter>
    </customSheetView>
  </customSheetViews>
  <mergeCells count="24">
    <mergeCell ref="N20:O20"/>
    <mergeCell ref="N5:O5"/>
    <mergeCell ref="N8:O17"/>
    <mergeCell ref="E13:E14"/>
    <mergeCell ref="B2:D2"/>
    <mergeCell ref="B9:B12"/>
    <mergeCell ref="B13:B14"/>
    <mergeCell ref="D9:D12"/>
    <mergeCell ref="B1:E1"/>
    <mergeCell ref="B16:B17"/>
    <mergeCell ref="B32:M32"/>
    <mergeCell ref="B28:M28"/>
    <mergeCell ref="B25:M25"/>
    <mergeCell ref="B21:M21"/>
    <mergeCell ref="B18:D18"/>
    <mergeCell ref="E16:E17"/>
    <mergeCell ref="D16:D17"/>
    <mergeCell ref="C16:C17"/>
    <mergeCell ref="E9:E12"/>
    <mergeCell ref="C6:M6"/>
    <mergeCell ref="E5:F5"/>
    <mergeCell ref="C9:C12"/>
    <mergeCell ref="C13:C14"/>
    <mergeCell ref="D13:D14"/>
  </mergeCells>
  <pageMargins left="0.70866141732283472" right="0.70866141732283472" top="1.1811023622047245" bottom="0.78740157480314965" header="0.31496062992125984" footer="0.31496062992125984"/>
  <pageSetup paperSize="8" scale="77" fitToHeight="0" orientation="landscape" cellComments="atEnd" r:id="rId2"/>
  <headerFooter>
    <oddFooter>&amp;L&amp;A&amp;R&amp;P</oddFooter>
  </headerFooter>
  <ignoredErrors>
    <ignoredError sqref="E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3" tint="0.59999389629810485"/>
    <pageSetUpPr fitToPage="1"/>
  </sheetPr>
  <dimension ref="B1:K65"/>
  <sheetViews>
    <sheetView showGridLines="0" zoomScale="70" zoomScaleNormal="70" zoomScalePageLayoutView="70" workbookViewId="0">
      <selection activeCell="K7" sqref="K7:K16"/>
    </sheetView>
  </sheetViews>
  <sheetFormatPr baseColWidth="10" defaultColWidth="11" defaultRowHeight="14" x14ac:dyDescent="0.3"/>
  <cols>
    <col min="1" max="1" width="2.08203125" style="13" customWidth="1"/>
    <col min="2" max="2" width="37.33203125" style="13" customWidth="1"/>
    <col min="3" max="9" width="15.83203125" style="13" customWidth="1"/>
    <col min="10" max="10" width="2.58203125" style="13" customWidth="1"/>
    <col min="11" max="11" width="63.58203125" style="13" customWidth="1"/>
    <col min="12" max="12" width="2.08203125" style="13" customWidth="1"/>
    <col min="13" max="16384" width="11" style="13"/>
  </cols>
  <sheetData>
    <row r="1" spans="2:11" s="1" customFormat="1" ht="28" x14ac:dyDescent="0.6">
      <c r="B1" s="467" t="s">
        <v>116</v>
      </c>
      <c r="C1" s="467"/>
      <c r="D1" s="467"/>
      <c r="E1" s="467"/>
      <c r="F1" s="467"/>
      <c r="G1" s="467"/>
      <c r="H1" s="467"/>
      <c r="I1" s="467"/>
    </row>
    <row r="2" spans="2:11" s="1" customFormat="1" x14ac:dyDescent="0.3">
      <c r="B2" s="16"/>
      <c r="C2" s="16"/>
      <c r="D2" s="16"/>
      <c r="E2" s="16"/>
      <c r="F2" s="16"/>
      <c r="G2" s="16"/>
    </row>
    <row r="3" spans="2:11" s="1" customFormat="1" ht="28.5" customHeight="1" x14ac:dyDescent="0.3">
      <c r="B3" s="303" t="s">
        <v>42</v>
      </c>
      <c r="C3" s="469" t="str">
        <f>Indice!D4</f>
        <v>CH</v>
      </c>
      <c r="D3" s="469"/>
      <c r="E3" s="93"/>
      <c r="F3" s="93"/>
    </row>
    <row r="4" spans="2:11" s="1" customFormat="1" ht="28.5" customHeight="1" x14ac:dyDescent="0.3">
      <c r="B4" s="303" t="s">
        <v>51</v>
      </c>
      <c r="C4" s="468"/>
      <c r="D4" s="468"/>
      <c r="E4" s="93"/>
      <c r="F4" s="93"/>
      <c r="H4" s="94"/>
    </row>
    <row r="5" spans="2:11" ht="14.15" customHeight="1" thickBot="1" x14ac:dyDescent="0.35"/>
    <row r="6" spans="2:11" ht="45" customHeight="1" thickBot="1" x14ac:dyDescent="0.35">
      <c r="B6" s="470"/>
      <c r="C6" s="471"/>
      <c r="D6" s="471"/>
      <c r="E6" s="471"/>
      <c r="F6" s="471"/>
      <c r="G6" s="471"/>
      <c r="H6" s="471"/>
      <c r="I6" s="472"/>
      <c r="K6" s="67" t="s">
        <v>57</v>
      </c>
    </row>
    <row r="7" spans="2:11" s="16" customFormat="1" ht="45" customHeight="1" thickBot="1" x14ac:dyDescent="0.35">
      <c r="B7" s="154" t="s">
        <v>117</v>
      </c>
      <c r="C7" s="150" t="s">
        <v>56</v>
      </c>
      <c r="D7" s="151" t="s">
        <v>68</v>
      </c>
      <c r="E7" s="151" t="s">
        <v>118</v>
      </c>
      <c r="F7" s="151" t="s">
        <v>177</v>
      </c>
      <c r="G7" s="151" t="s">
        <v>70</v>
      </c>
      <c r="H7" s="152" t="s">
        <v>119</v>
      </c>
      <c r="I7" s="153" t="s">
        <v>120</v>
      </c>
      <c r="J7" s="13"/>
      <c r="K7" s="473"/>
    </row>
    <row r="8" spans="2:11" ht="60" customHeight="1" thickBot="1" x14ac:dyDescent="0.35">
      <c r="B8" s="297" t="s">
        <v>218</v>
      </c>
      <c r="C8" s="96">
        <f>SUM(D8:E8, G8)</f>
        <v>0</v>
      </c>
      <c r="D8" s="97"/>
      <c r="E8" s="98"/>
      <c r="F8" s="98"/>
      <c r="G8" s="98"/>
      <c r="H8" s="120"/>
      <c r="I8" s="99"/>
      <c r="K8" s="474"/>
    </row>
    <row r="9" spans="2:11" ht="43.5" customHeight="1" thickBot="1" x14ac:dyDescent="0.35">
      <c r="B9" s="244" t="s">
        <v>219</v>
      </c>
      <c r="C9" s="245">
        <f>SUM(D9:E9, G9)</f>
        <v>7404</v>
      </c>
      <c r="D9" s="246">
        <f>VLOOKUP($C$3,bestand_ias,3,FALSE)</f>
        <v>2995</v>
      </c>
      <c r="E9" s="246">
        <f>VLOOKUP($C$3,bestand_ias,4,FALSE)</f>
        <v>4409</v>
      </c>
      <c r="F9" s="246">
        <f>VLOOKUP($C$3,bestand_ias,5,FALSE)</f>
        <v>9461</v>
      </c>
      <c r="G9" s="246" t="s">
        <v>33</v>
      </c>
      <c r="H9" s="246">
        <f>VLOOKUP($C$3,bestand_ias,6,FALSE)</f>
        <v>1882</v>
      </c>
      <c r="I9" s="247">
        <f>VLOOKUP($C$3,bestand_ias,7,FALSE)</f>
        <v>5522</v>
      </c>
      <c r="K9" s="474"/>
    </row>
    <row r="10" spans="2:11" ht="14.15" customHeight="1" x14ac:dyDescent="0.3">
      <c r="B10" s="13" t="s">
        <v>216</v>
      </c>
      <c r="K10" s="474"/>
    </row>
    <row r="11" spans="2:11" ht="14.15" customHeight="1" x14ac:dyDescent="0.3">
      <c r="B11" s="13" t="s">
        <v>217</v>
      </c>
      <c r="K11" s="474"/>
    </row>
    <row r="12" spans="2:11" ht="14.15" customHeight="1" thickBot="1" x14ac:dyDescent="0.35">
      <c r="K12" s="474"/>
    </row>
    <row r="13" spans="2:11" ht="45" customHeight="1" thickBot="1" x14ac:dyDescent="0.35">
      <c r="B13" s="476" t="s">
        <v>121</v>
      </c>
      <c r="C13" s="477"/>
      <c r="D13" s="477"/>
      <c r="E13" s="477"/>
      <c r="F13" s="477"/>
      <c r="G13" s="477"/>
      <c r="H13" s="477"/>
      <c r="I13" s="478"/>
      <c r="J13" s="14"/>
      <c r="K13" s="474"/>
    </row>
    <row r="14" spans="2:11" ht="37.5" customHeight="1" x14ac:dyDescent="0.3">
      <c r="B14" s="18" t="s">
        <v>122</v>
      </c>
      <c r="C14" s="479" t="s">
        <v>199</v>
      </c>
      <c r="D14" s="479"/>
      <c r="E14" s="479"/>
      <c r="F14" s="479"/>
      <c r="G14" s="479"/>
      <c r="H14" s="479"/>
      <c r="I14" s="480"/>
      <c r="J14" s="12"/>
      <c r="K14" s="474"/>
    </row>
    <row r="15" spans="2:11" ht="121.5" customHeight="1" x14ac:dyDescent="0.3">
      <c r="B15" s="19" t="s">
        <v>55</v>
      </c>
      <c r="C15" s="481" t="s">
        <v>124</v>
      </c>
      <c r="D15" s="481"/>
      <c r="E15" s="481"/>
      <c r="F15" s="481"/>
      <c r="G15" s="481"/>
      <c r="H15" s="481"/>
      <c r="I15" s="482"/>
      <c r="J15" s="12"/>
      <c r="K15" s="474"/>
    </row>
    <row r="16" spans="2:11" ht="67" customHeight="1" thickBot="1" x14ac:dyDescent="0.35">
      <c r="B16" s="20" t="s">
        <v>123</v>
      </c>
      <c r="C16" s="483" t="s">
        <v>200</v>
      </c>
      <c r="D16" s="483"/>
      <c r="E16" s="483"/>
      <c r="F16" s="483"/>
      <c r="G16" s="483"/>
      <c r="H16" s="483"/>
      <c r="I16" s="484"/>
      <c r="J16" s="12"/>
      <c r="K16" s="475"/>
    </row>
    <row r="17" spans="3:3" ht="14.15" customHeight="1" x14ac:dyDescent="0.3"/>
    <row r="18" spans="3:3" ht="14.15" customHeight="1" x14ac:dyDescent="0.3"/>
    <row r="19" spans="3:3" ht="14.15" customHeight="1" x14ac:dyDescent="0.3"/>
    <row r="20" spans="3:3" ht="14.15" customHeight="1" x14ac:dyDescent="0.3">
      <c r="C20" s="17"/>
    </row>
    <row r="21" spans="3:3" ht="14.15" customHeight="1" x14ac:dyDescent="0.3"/>
    <row r="22" spans="3:3" ht="14.15" customHeight="1" x14ac:dyDescent="0.3"/>
    <row r="23" spans="3:3" ht="14.15" customHeight="1" x14ac:dyDescent="0.3"/>
    <row r="24" spans="3:3" ht="14.15" customHeight="1" x14ac:dyDescent="0.3"/>
    <row r="25" spans="3:3" ht="14.15" customHeight="1" x14ac:dyDescent="0.3"/>
    <row r="26" spans="3:3" ht="14.15" customHeight="1" x14ac:dyDescent="0.3"/>
    <row r="27" spans="3:3" ht="14.15" customHeight="1" x14ac:dyDescent="0.3"/>
    <row r="28" spans="3:3" ht="14.15" customHeight="1" x14ac:dyDescent="0.3"/>
    <row r="29" spans="3:3" ht="14.15" customHeight="1" x14ac:dyDescent="0.3"/>
    <row r="30" spans="3:3" ht="14.15" customHeight="1" x14ac:dyDescent="0.3"/>
    <row r="31" spans="3:3" ht="14.15" customHeight="1" x14ac:dyDescent="0.3"/>
    <row r="32" spans="3:3"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row r="48" ht="14.15" customHeight="1" x14ac:dyDescent="0.3"/>
    <row r="49" ht="14.15" customHeight="1" x14ac:dyDescent="0.3"/>
    <row r="50" ht="14.15" customHeight="1" x14ac:dyDescent="0.3"/>
    <row r="51" ht="14.15" customHeight="1" x14ac:dyDescent="0.3"/>
    <row r="52" ht="14.15" customHeight="1" x14ac:dyDescent="0.3"/>
    <row r="53" ht="14.15" customHeight="1" x14ac:dyDescent="0.3"/>
    <row r="54" ht="14.15" customHeight="1" x14ac:dyDescent="0.3"/>
    <row r="55" ht="14.15" customHeight="1" x14ac:dyDescent="0.3"/>
    <row r="56" ht="14.15" customHeight="1" x14ac:dyDescent="0.3"/>
    <row r="57" ht="14.15" customHeight="1" x14ac:dyDescent="0.3"/>
    <row r="58" ht="14.15" customHeight="1" x14ac:dyDescent="0.3"/>
    <row r="59" ht="14.15" customHeight="1" x14ac:dyDescent="0.3"/>
    <row r="60" ht="14.15" customHeight="1" x14ac:dyDescent="0.3"/>
    <row r="61" ht="14.15" customHeight="1" x14ac:dyDescent="0.3"/>
    <row r="62" ht="14.15" customHeight="1" x14ac:dyDescent="0.3"/>
    <row r="63" ht="14.15" customHeight="1" x14ac:dyDescent="0.3"/>
    <row r="64" ht="14.15" customHeight="1" x14ac:dyDescent="0.3"/>
    <row r="65" ht="14.15" customHeight="1" x14ac:dyDescent="0.3"/>
  </sheetData>
  <sheetProtection algorithmName="SHA-512" hashValue="XddhgzhJN+QDmdJiIc93/bqZ+Zv/BKOtSt1czh1BQDG3JEJYDIyYueMAHocVQv++MnXySyCCHb3xbKd9Il8ssg==" saltValue="P0rvRZkV86lLvfm5kUumsw==" spinCount="100000" sheet="1" selectLockedCells="1"/>
  <protectedRanges>
    <protectedRange password="CAA2" sqref="C8:C9" name="Summe"/>
  </protectedRanges>
  <sortState xmlns:xlrd2="http://schemas.microsoft.com/office/spreadsheetml/2017/richdata2" ref="B5:B31">
    <sortCondition ref="B5"/>
  </sortState>
  <customSheetViews>
    <customSheetView guid="{168849A9-FED9-4458-942F-290616B3A25C}" scale="70" showPageBreaks="1" showGridLines="0" fitToPage="1" printArea="1" view="pageLayout" topLeftCell="A7">
      <selection activeCell="C15" sqref="C15:H15"/>
      <pageMargins left="0.70866141732283472" right="0.70866141732283472" top="1.1811023622047245" bottom="0.78740157480314965" header="0.31496062992125984" footer="0.31496062992125984"/>
      <pageSetup paperSize="8" scale="87" fitToHeight="0" orientation="landscape" cellComments="atEnd" r:id="rId1"/>
      <headerFooter>
        <oddHeader>&amp;LKennzahlenraster KIP / IAS&amp;R&amp;G</oddHeader>
        <oddFooter>&amp;L&amp;A: Erstinformation&amp;R&amp;P</oddFooter>
      </headerFooter>
    </customSheetView>
  </customSheetViews>
  <mergeCells count="9">
    <mergeCell ref="B1:I1"/>
    <mergeCell ref="C4:D4"/>
    <mergeCell ref="C3:D3"/>
    <mergeCell ref="B6:I6"/>
    <mergeCell ref="K7:K16"/>
    <mergeCell ref="B13:I13"/>
    <mergeCell ref="C14:I14"/>
    <mergeCell ref="C15:I15"/>
    <mergeCell ref="C16:I16"/>
  </mergeCells>
  <dataValidations count="3">
    <dataValidation type="whole" operator="greaterThanOrEqual" allowBlank="1" showErrorMessage="1" errorTitle="Fehler" error="Solo i numeri interi e positivi sono validi (0, 200, etc.). " promptTitle="Ganze Zahlen" prompt="Nur ganzzahlige Werte (0, 1, 200 etc.)" sqref="E8:I8 D8" xr:uid="{00000000-0002-0000-0400-000000000000}">
      <formula1>0</formula1>
    </dataValidation>
    <dataValidation allowBlank="1" showInputMessage="1" showErrorMessage="1" errorTitle="Data del rilevamento" error="Si prega di compilare" promptTitle="Data del rilevamento" prompt="Si prega di compilare" sqref="C4:D4" xr:uid="{00000000-0002-0000-0400-000001000000}"/>
    <dataValidation operator="greaterThanOrEqual" allowBlank="1" sqref="D9:I9" xr:uid="{00000000-0002-0000-0400-000002000000}"/>
  </dataValidations>
  <pageMargins left="0.70866141732283472" right="0.70866141732283472" top="1.1811023622047245" bottom="0.78740157480314965" header="0.31496062992125984" footer="0.31496062992125984"/>
  <pageSetup paperSize="8" scale="87" fitToHeight="0" orientation="landscape" cellComments="atEnd" r:id="rId2"/>
  <headerFooter>
    <oddFooter>&amp;L&amp;A: Erstinformation&amp;R&amp;P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3" tint="0.59999389629810485"/>
    <pageSetUpPr fitToPage="1"/>
  </sheetPr>
  <dimension ref="B1:L46"/>
  <sheetViews>
    <sheetView showGridLines="0" zoomScale="70" zoomScaleNormal="70" workbookViewId="0">
      <selection activeCell="H9" sqref="H9"/>
    </sheetView>
  </sheetViews>
  <sheetFormatPr baseColWidth="10" defaultColWidth="11" defaultRowHeight="14" x14ac:dyDescent="0.3"/>
  <cols>
    <col min="1" max="1" width="2.08203125" style="13" customWidth="1"/>
    <col min="2" max="2" width="37.33203125" style="13" customWidth="1"/>
    <col min="3" max="3" width="30.83203125" style="13" customWidth="1"/>
    <col min="4" max="10" width="15.83203125" style="13" customWidth="1"/>
    <col min="11" max="11" width="2.58203125" style="13" customWidth="1"/>
    <col min="12" max="12" width="63.58203125" style="13" customWidth="1"/>
    <col min="13" max="13" width="2.08203125" style="13" customWidth="1"/>
    <col min="14" max="16384" width="11" style="13"/>
  </cols>
  <sheetData>
    <row r="1" spans="2:12" s="1" customFormat="1" ht="28" x14ac:dyDescent="0.6">
      <c r="B1" s="467" t="s">
        <v>125</v>
      </c>
      <c r="C1" s="467"/>
      <c r="D1" s="467"/>
      <c r="E1" s="467"/>
      <c r="F1" s="467"/>
      <c r="G1" s="467"/>
      <c r="H1" s="467"/>
      <c r="I1" s="467"/>
      <c r="J1" s="467"/>
    </row>
    <row r="2" spans="2:12" s="1" customFormat="1" x14ac:dyDescent="0.3">
      <c r="B2" s="16"/>
      <c r="C2" s="16"/>
      <c r="E2" s="16"/>
      <c r="F2" s="16"/>
      <c r="G2" s="16"/>
    </row>
    <row r="3" spans="2:12" s="1" customFormat="1" ht="28.5" customHeight="1" x14ac:dyDescent="0.3">
      <c r="B3" s="303" t="s">
        <v>42</v>
      </c>
      <c r="C3" s="117" t="str">
        <f>Indice!D4</f>
        <v>CH</v>
      </c>
      <c r="E3" s="93"/>
    </row>
    <row r="4" spans="2:12" s="1" customFormat="1" ht="28.5" customHeight="1" x14ac:dyDescent="0.3">
      <c r="B4" s="303" t="s">
        <v>51</v>
      </c>
      <c r="C4" s="118"/>
      <c r="E4" s="93"/>
      <c r="H4" s="94"/>
    </row>
    <row r="5" spans="2:12" ht="14.15" customHeight="1" thickBot="1" x14ac:dyDescent="0.35">
      <c r="B5" s="15"/>
      <c r="C5" s="15"/>
    </row>
    <row r="6" spans="2:12" ht="45" customHeight="1" thickBot="1" x14ac:dyDescent="0.35">
      <c r="B6" s="485"/>
      <c r="C6" s="486"/>
      <c r="D6" s="486"/>
      <c r="E6" s="486"/>
      <c r="F6" s="486"/>
      <c r="G6" s="486"/>
      <c r="H6" s="486"/>
      <c r="I6" s="486"/>
      <c r="J6" s="487"/>
      <c r="L6" s="67" t="s">
        <v>57</v>
      </c>
    </row>
    <row r="7" spans="2:12" s="16" customFormat="1" ht="45" customHeight="1" thickBot="1" x14ac:dyDescent="0.35">
      <c r="B7" s="154" t="s">
        <v>117</v>
      </c>
      <c r="C7" s="149"/>
      <c r="D7" s="150" t="s">
        <v>56</v>
      </c>
      <c r="E7" s="151" t="s">
        <v>68</v>
      </c>
      <c r="F7" s="151" t="s">
        <v>118</v>
      </c>
      <c r="G7" s="151" t="s">
        <v>177</v>
      </c>
      <c r="H7" s="151" t="s">
        <v>70</v>
      </c>
      <c r="I7" s="152" t="s">
        <v>119</v>
      </c>
      <c r="J7" s="147" t="s">
        <v>120</v>
      </c>
      <c r="K7" s="122"/>
      <c r="L7" s="488"/>
    </row>
    <row r="8" spans="2:12" ht="50.15" customHeight="1" x14ac:dyDescent="0.3">
      <c r="B8" s="494" t="s">
        <v>220</v>
      </c>
      <c r="C8" s="22" t="s">
        <v>81</v>
      </c>
      <c r="D8" s="101">
        <f t="shared" ref="D8:D13" si="0">SUM(E8:F8, H8)</f>
        <v>0</v>
      </c>
      <c r="E8" s="97"/>
      <c r="F8" s="98"/>
      <c r="G8" s="98"/>
      <c r="H8" s="98"/>
      <c r="I8" s="120"/>
      <c r="J8" s="99"/>
      <c r="L8" s="489"/>
    </row>
    <row r="9" spans="2:12" ht="50.15" customHeight="1" x14ac:dyDescent="0.3">
      <c r="B9" s="495"/>
      <c r="C9" s="296" t="s">
        <v>246</v>
      </c>
      <c r="D9" s="102">
        <f t="shared" si="0"/>
        <v>0</v>
      </c>
      <c r="E9" s="103"/>
      <c r="F9" s="104"/>
      <c r="G9" s="104"/>
      <c r="H9" s="104"/>
      <c r="I9" s="104"/>
      <c r="J9" s="105"/>
      <c r="L9" s="489"/>
    </row>
    <row r="10" spans="2:12" ht="50.15" customHeight="1" x14ac:dyDescent="0.3">
      <c r="B10" s="495"/>
      <c r="C10" s="296" t="s">
        <v>247</v>
      </c>
      <c r="D10" s="102">
        <f t="shared" si="0"/>
        <v>0</v>
      </c>
      <c r="E10" s="103"/>
      <c r="F10" s="104"/>
      <c r="G10" s="104"/>
      <c r="H10" s="104"/>
      <c r="I10" s="104"/>
      <c r="J10" s="105"/>
      <c r="L10" s="489"/>
    </row>
    <row r="11" spans="2:12" ht="50.15" customHeight="1" thickBot="1" x14ac:dyDescent="0.35">
      <c r="B11" s="495"/>
      <c r="C11" s="23" t="s">
        <v>248</v>
      </c>
      <c r="D11" s="106">
        <f t="shared" si="0"/>
        <v>0</v>
      </c>
      <c r="E11" s="107"/>
      <c r="F11" s="108"/>
      <c r="G11" s="108"/>
      <c r="H11" s="108"/>
      <c r="I11" s="108"/>
      <c r="J11" s="109"/>
      <c r="L11" s="489"/>
    </row>
    <row r="12" spans="2:12" ht="50.15" customHeight="1" thickBot="1" x14ac:dyDescent="0.35">
      <c r="B12" s="495"/>
      <c r="C12" s="304" t="s">
        <v>56</v>
      </c>
      <c r="D12" s="119">
        <f t="shared" si="0"/>
        <v>0</v>
      </c>
      <c r="E12" s="111">
        <f t="shared" ref="E12:J12" si="1">SUM(E8:E11)</f>
        <v>0</v>
      </c>
      <c r="F12" s="112">
        <f t="shared" si="1"/>
        <v>0</v>
      </c>
      <c r="G12" s="112">
        <f t="shared" si="1"/>
        <v>0</v>
      </c>
      <c r="H12" s="112">
        <f t="shared" si="1"/>
        <v>0</v>
      </c>
      <c r="I12" s="112">
        <f t="shared" si="1"/>
        <v>0</v>
      </c>
      <c r="J12" s="113">
        <f t="shared" si="1"/>
        <v>0</v>
      </c>
      <c r="L12" s="489"/>
    </row>
    <row r="13" spans="2:12" ht="43.5" customHeight="1" thickBot="1" x14ac:dyDescent="0.35">
      <c r="B13" s="244" t="s">
        <v>219</v>
      </c>
      <c r="C13" s="244"/>
      <c r="D13" s="245">
        <f t="shared" si="0"/>
        <v>7404</v>
      </c>
      <c r="E13" s="248">
        <f>VLOOKUP($C$3,bestand_ias,3,FALSE)</f>
        <v>2995</v>
      </c>
      <c r="F13" s="249">
        <f>VLOOKUP($C$3,bestand_ias,4,FALSE)</f>
        <v>4409</v>
      </c>
      <c r="G13" s="249">
        <f>VLOOKUP($C$3,bestand_ias,5,FALSE)</f>
        <v>9461</v>
      </c>
      <c r="H13" s="249" t="s">
        <v>33</v>
      </c>
      <c r="I13" s="249">
        <f>VLOOKUP($C$3,bestand_ias,6,FALSE)</f>
        <v>1882</v>
      </c>
      <c r="J13" s="250">
        <f>VLOOKUP($C$3,bestand_ias,7,FALSE)</f>
        <v>5522</v>
      </c>
      <c r="L13" s="489"/>
    </row>
    <row r="14" spans="2:12" ht="14.15" customHeight="1" x14ac:dyDescent="0.3">
      <c r="B14" s="13" t="s">
        <v>216</v>
      </c>
      <c r="L14" s="489"/>
    </row>
    <row r="15" spans="2:12" ht="14.15" customHeight="1" x14ac:dyDescent="0.3">
      <c r="B15" s="13" t="s">
        <v>217</v>
      </c>
      <c r="L15" s="489"/>
    </row>
    <row r="16" spans="2:12" ht="14.15" customHeight="1" thickBot="1" x14ac:dyDescent="0.35">
      <c r="L16" s="489"/>
    </row>
    <row r="17" spans="2:12" ht="45" customHeight="1" thickBot="1" x14ac:dyDescent="0.35">
      <c r="B17" s="476" t="s">
        <v>121</v>
      </c>
      <c r="C17" s="477"/>
      <c r="D17" s="477"/>
      <c r="E17" s="477"/>
      <c r="F17" s="477"/>
      <c r="G17" s="477"/>
      <c r="H17" s="477"/>
      <c r="I17" s="477"/>
      <c r="J17" s="478"/>
      <c r="K17" s="14"/>
      <c r="L17" s="489"/>
    </row>
    <row r="18" spans="2:12" ht="81" customHeight="1" x14ac:dyDescent="0.3">
      <c r="B18" s="18" t="s">
        <v>122</v>
      </c>
      <c r="C18" s="496" t="s">
        <v>201</v>
      </c>
      <c r="D18" s="497"/>
      <c r="E18" s="497"/>
      <c r="F18" s="497"/>
      <c r="G18" s="497"/>
      <c r="H18" s="497"/>
      <c r="I18" s="497"/>
      <c r="J18" s="498"/>
      <c r="K18" s="12"/>
      <c r="L18" s="489"/>
    </row>
    <row r="19" spans="2:12" ht="192" customHeight="1" x14ac:dyDescent="0.3">
      <c r="B19" s="19" t="s">
        <v>55</v>
      </c>
      <c r="C19" s="499" t="s">
        <v>187</v>
      </c>
      <c r="D19" s="500"/>
      <c r="E19" s="500"/>
      <c r="F19" s="500"/>
      <c r="G19" s="500"/>
      <c r="H19" s="500"/>
      <c r="I19" s="500"/>
      <c r="J19" s="501"/>
      <c r="K19" s="12"/>
      <c r="L19" s="489"/>
    </row>
    <row r="20" spans="2:12" ht="67" customHeight="1" thickBot="1" x14ac:dyDescent="0.35">
      <c r="B20" s="20" t="s">
        <v>123</v>
      </c>
      <c r="C20" s="491" t="s">
        <v>202</v>
      </c>
      <c r="D20" s="492"/>
      <c r="E20" s="492"/>
      <c r="F20" s="492"/>
      <c r="G20" s="492"/>
      <c r="H20" s="492"/>
      <c r="I20" s="492"/>
      <c r="J20" s="493"/>
      <c r="K20" s="12"/>
      <c r="L20" s="490"/>
    </row>
    <row r="21" spans="2:12" ht="14.15" customHeight="1" x14ac:dyDescent="0.3"/>
    <row r="22" spans="2:12" ht="14.15" customHeight="1" x14ac:dyDescent="0.3"/>
    <row r="23" spans="2:12" ht="14.15" customHeight="1" x14ac:dyDescent="0.3"/>
    <row r="24" spans="2:12" ht="14.15" customHeight="1" x14ac:dyDescent="0.3">
      <c r="D24" s="17"/>
    </row>
    <row r="25" spans="2:12" ht="14.15" customHeight="1" x14ac:dyDescent="0.3"/>
    <row r="26" spans="2:12" ht="14.15" customHeight="1" x14ac:dyDescent="0.3"/>
    <row r="27" spans="2:12" ht="14.15" customHeight="1" x14ac:dyDescent="0.3"/>
    <row r="28" spans="2:12" ht="14.15" customHeight="1" x14ac:dyDescent="0.3"/>
    <row r="29" spans="2:12" ht="14.15" customHeight="1" x14ac:dyDescent="0.3"/>
    <row r="30" spans="2:12" ht="14.15" customHeight="1" x14ac:dyDescent="0.3"/>
    <row r="31" spans="2:12" ht="14.15" customHeight="1" x14ac:dyDescent="0.3"/>
    <row r="32" spans="2:1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sheetData>
  <sheetProtection algorithmName="SHA-512" hashValue="ucy6hXF472t1hyZ1SPlJTTIDC7zvaZy7ZQPo3GFsv/qejLhvOM1WEew3/x924dEdkPbug7z/rQH9nb8GlPjeAw==" saltValue="8sJNOdnIVqXfX+6hOvi+RQ==" spinCount="100000" sheet="1" selectLockedCells="1"/>
  <protectedRanges>
    <protectedRange password="CAA2" sqref="D8:D13" name="Summe"/>
  </protectedRanges>
  <customSheetViews>
    <customSheetView guid="{168849A9-FED9-4458-942F-290616B3A25C}" scale="85" showPageBreaks="1" showGridLines="0" fitToPage="1" printArea="1" topLeftCell="A13">
      <selection activeCell="C17" sqref="C17:I17"/>
      <pageMargins left="0.70866141732283472" right="0.70866141732283472" top="1.1811023622047245" bottom="0.78740157480314965" header="0.31496062992125984" footer="0.31496062992125984"/>
      <pageSetup paperSize="8" scale="77" fitToHeight="0" orientation="landscape" cellComments="atEnd" r:id="rId1"/>
      <headerFooter>
        <oddHeader>&amp;LKennzahlenraster KIP / IAS&amp;R&amp;G</oddHeader>
        <oddFooter>&amp;L&amp;A: Arbeitserfahrung&amp;R&amp;P</oddFooter>
      </headerFooter>
    </customSheetView>
  </customSheetViews>
  <mergeCells count="8">
    <mergeCell ref="B6:J6"/>
    <mergeCell ref="B1:J1"/>
    <mergeCell ref="L7:L20"/>
    <mergeCell ref="B17:J17"/>
    <mergeCell ref="C20:J20"/>
    <mergeCell ref="B8:B12"/>
    <mergeCell ref="C18:J18"/>
    <mergeCell ref="C19:J19"/>
  </mergeCells>
  <dataValidations count="5">
    <dataValidation type="whole" operator="greaterThanOrEqual" allowBlank="1" showErrorMessage="1" errorTitle="Fehler" error="Gültig sind nur positive, ganze Zahlen (0, 200, etc.). Kein Text" promptTitle="Ganze Zahlen" prompt="Nur ganzzahlige Werte (0, 1, 200 etc.)" sqref="E12:J12" xr:uid="{00000000-0002-0000-0500-000000000000}">
      <formula1>0</formula1>
    </dataValidation>
    <dataValidation type="date" allowBlank="1" showInputMessage="1" showErrorMessage="1" errorTitle="Erfassungsdatum" error="Bitte Erfassungsdatum eingeben" promptTitle="Erfassungsdatum" prompt="Bitte Erfassungsdatum eingeben" sqref="D4" xr:uid="{00000000-0002-0000-0500-000001000000}">
      <formula1>44197</formula1>
      <formula2>44561</formula2>
    </dataValidation>
    <dataValidation operator="greaterThanOrEqual" allowBlank="1" promptTitle="Ganze Zahlen" sqref="E13:J13" xr:uid="{00000000-0002-0000-0500-000002000000}"/>
    <dataValidation allowBlank="1" showInputMessage="1" showErrorMessage="1" errorTitle="Data del rilevamento" error="Si prega di compilare" promptTitle="Data del rilevamento" prompt="Si prega di compilare" sqref="C4" xr:uid="{00000000-0002-0000-0500-000003000000}"/>
    <dataValidation type="whole" operator="greaterThanOrEqual" allowBlank="1" showErrorMessage="1" errorTitle="Fehler" error="Solo i numeri interi e positivi sono validi (0, 200, etc.). " promptTitle="Ganze Zahlen" prompt="Nur ganzzahlige Werte (0, 1, 200 etc.)" sqref="E8:J11" xr:uid="{00000000-0002-0000-0500-000004000000}">
      <formula1>0</formula1>
    </dataValidation>
  </dataValidations>
  <pageMargins left="0.70866141732283472" right="0.70866141732283472" top="1.1811023622047245" bottom="0.78740157480314965" header="0.31496062992125984" footer="0.31496062992125984"/>
  <pageSetup paperSize="8" scale="77" fitToHeight="0" orientation="landscape" cellComments="atEnd" r:id="rId2"/>
  <headerFooter>
    <oddFooter>&amp;L&amp;A: Arbeitserfahrung&amp;R&amp;P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3" tint="0.59999389629810485"/>
    <pageSetUpPr fitToPage="1"/>
  </sheetPr>
  <dimension ref="B1:L77"/>
  <sheetViews>
    <sheetView showGridLines="0" topLeftCell="A4" zoomScale="70" zoomScaleNormal="70" workbookViewId="0">
      <selection activeCell="L7" sqref="L7:L18"/>
    </sheetView>
  </sheetViews>
  <sheetFormatPr baseColWidth="10" defaultColWidth="11" defaultRowHeight="14" x14ac:dyDescent="0.3"/>
  <cols>
    <col min="1" max="1" width="2.08203125" style="13" customWidth="1"/>
    <col min="2" max="2" width="37.33203125" style="13" customWidth="1"/>
    <col min="3" max="3" width="12.08203125" style="13" customWidth="1"/>
    <col min="4" max="10" width="15.83203125" style="13" customWidth="1"/>
    <col min="11" max="11" width="2.58203125" style="13" customWidth="1"/>
    <col min="12" max="12" width="63.58203125" style="13" customWidth="1"/>
    <col min="13" max="13" width="2.08203125" style="13" customWidth="1"/>
    <col min="14" max="16384" width="11" style="13"/>
  </cols>
  <sheetData>
    <row r="1" spans="2:12" s="1" customFormat="1" ht="28" x14ac:dyDescent="0.6">
      <c r="B1" s="467" t="s">
        <v>126</v>
      </c>
      <c r="C1" s="467"/>
      <c r="D1" s="467"/>
      <c r="E1" s="467"/>
      <c r="F1" s="467"/>
      <c r="G1" s="467"/>
      <c r="H1" s="467"/>
      <c r="I1" s="467"/>
      <c r="J1" s="467"/>
    </row>
    <row r="2" spans="2:12" s="1" customFormat="1" x14ac:dyDescent="0.3">
      <c r="B2" s="16"/>
      <c r="C2" s="16"/>
      <c r="D2" s="16"/>
      <c r="E2" s="16"/>
      <c r="F2" s="16"/>
      <c r="G2" s="16"/>
    </row>
    <row r="3" spans="2:12" s="1" customFormat="1" ht="28.5" customHeight="1" x14ac:dyDescent="0.3">
      <c r="B3" s="303" t="s">
        <v>42</v>
      </c>
      <c r="C3" s="469" t="str">
        <f>Indice!D4</f>
        <v>CH</v>
      </c>
      <c r="D3" s="469"/>
      <c r="E3" s="93"/>
    </row>
    <row r="4" spans="2:12" s="1" customFormat="1" ht="28.5" customHeight="1" x14ac:dyDescent="0.3">
      <c r="B4" s="303" t="s">
        <v>51</v>
      </c>
      <c r="C4" s="468"/>
      <c r="D4" s="468"/>
      <c r="E4" s="93"/>
      <c r="H4" s="94"/>
    </row>
    <row r="5" spans="2:12" ht="14.15" customHeight="1" thickBot="1" x14ac:dyDescent="0.35"/>
    <row r="6" spans="2:12" ht="45" customHeight="1" thickBot="1" x14ac:dyDescent="0.35">
      <c r="B6" s="470"/>
      <c r="C6" s="471"/>
      <c r="D6" s="471"/>
      <c r="E6" s="471"/>
      <c r="F6" s="471"/>
      <c r="G6" s="471"/>
      <c r="H6" s="471"/>
      <c r="I6" s="471"/>
      <c r="J6" s="472"/>
      <c r="L6" s="67" t="s">
        <v>57</v>
      </c>
    </row>
    <row r="7" spans="2:12" s="16" customFormat="1" ht="45" customHeight="1" thickBot="1" x14ac:dyDescent="0.35">
      <c r="B7" s="154" t="s">
        <v>117</v>
      </c>
      <c r="C7" s="149"/>
      <c r="D7" s="150" t="s">
        <v>56</v>
      </c>
      <c r="E7" s="151" t="s">
        <v>68</v>
      </c>
      <c r="F7" s="151" t="s">
        <v>118</v>
      </c>
      <c r="G7" s="151" t="s">
        <v>177</v>
      </c>
      <c r="H7" s="151" t="s">
        <v>70</v>
      </c>
      <c r="I7" s="152" t="s">
        <v>119</v>
      </c>
      <c r="J7" s="155" t="s">
        <v>120</v>
      </c>
      <c r="K7" s="122"/>
      <c r="L7" s="488"/>
    </row>
    <row r="8" spans="2:12" ht="60" customHeight="1" x14ac:dyDescent="0.3">
      <c r="B8" s="494" t="s">
        <v>221</v>
      </c>
      <c r="C8" s="296" t="s">
        <v>87</v>
      </c>
      <c r="D8" s="102">
        <f>SUM(E8:F8, H8)</f>
        <v>0</v>
      </c>
      <c r="E8" s="97"/>
      <c r="F8" s="98"/>
      <c r="G8" s="98"/>
      <c r="H8" s="98"/>
      <c r="I8" s="120"/>
      <c r="J8" s="99"/>
      <c r="L8" s="489"/>
    </row>
    <row r="9" spans="2:12" ht="60" customHeight="1" thickBot="1" x14ac:dyDescent="0.35">
      <c r="B9" s="495"/>
      <c r="C9" s="296" t="s">
        <v>88</v>
      </c>
      <c r="D9" s="102">
        <f>SUM(E9:F9, H9)</f>
        <v>0</v>
      </c>
      <c r="E9" s="107"/>
      <c r="F9" s="108"/>
      <c r="G9" s="108"/>
      <c r="H9" s="108"/>
      <c r="I9" s="108"/>
      <c r="J9" s="109"/>
      <c r="L9" s="489"/>
    </row>
    <row r="10" spans="2:12" ht="60" customHeight="1" thickBot="1" x14ac:dyDescent="0.35">
      <c r="B10" s="506"/>
      <c r="C10" s="304" t="s">
        <v>56</v>
      </c>
      <c r="D10" s="119">
        <f>SUM(E10:F10, H10)</f>
        <v>0</v>
      </c>
      <c r="E10" s="114">
        <f t="shared" ref="E10:J10" si="0">SUM(E8:E9)</f>
        <v>0</v>
      </c>
      <c r="F10" s="115">
        <f t="shared" si="0"/>
        <v>0</v>
      </c>
      <c r="G10" s="115">
        <f t="shared" si="0"/>
        <v>0</v>
      </c>
      <c r="H10" s="115">
        <f t="shared" si="0"/>
        <v>0</v>
      </c>
      <c r="I10" s="115">
        <f t="shared" si="0"/>
        <v>0</v>
      </c>
      <c r="J10" s="116">
        <f t="shared" si="0"/>
        <v>0</v>
      </c>
      <c r="L10" s="489"/>
    </row>
    <row r="11" spans="2:12" ht="43.5" customHeight="1" thickBot="1" x14ac:dyDescent="0.35">
      <c r="B11" s="251" t="s">
        <v>219</v>
      </c>
      <c r="C11" s="244"/>
      <c r="D11" s="245">
        <f>SUM(E11:F11, H11)</f>
        <v>7404</v>
      </c>
      <c r="E11" s="252">
        <f>VLOOKUP($C$3,bestand_ias,3,FALSE)</f>
        <v>2995</v>
      </c>
      <c r="F11" s="249">
        <f>VLOOKUP($C$3,bestand_ias,4,FALSE)</f>
        <v>4409</v>
      </c>
      <c r="G11" s="249">
        <f>VLOOKUP($C$3,bestand_ias,5,FALSE)</f>
        <v>9461</v>
      </c>
      <c r="H11" s="249" t="s">
        <v>33</v>
      </c>
      <c r="I11" s="249">
        <f>VLOOKUP($C$3,bestand_ias,6,FALSE)</f>
        <v>1882</v>
      </c>
      <c r="J11" s="250">
        <f>VLOOKUP($C$3,bestand_ias,7,FALSE)</f>
        <v>5522</v>
      </c>
      <c r="L11" s="489"/>
    </row>
    <row r="12" spans="2:12" ht="14.15" customHeight="1" x14ac:dyDescent="0.3">
      <c r="B12" s="13" t="s">
        <v>216</v>
      </c>
      <c r="L12" s="489"/>
    </row>
    <row r="13" spans="2:12" ht="14.15" customHeight="1" x14ac:dyDescent="0.3">
      <c r="B13" s="13" t="s">
        <v>217</v>
      </c>
      <c r="L13" s="489"/>
    </row>
    <row r="14" spans="2:12" ht="14.15" customHeight="1" thickBot="1" x14ac:dyDescent="0.35">
      <c r="L14" s="489"/>
    </row>
    <row r="15" spans="2:12" ht="45" customHeight="1" thickBot="1" x14ac:dyDescent="0.35">
      <c r="B15" s="476" t="s">
        <v>121</v>
      </c>
      <c r="C15" s="477"/>
      <c r="D15" s="477"/>
      <c r="E15" s="477"/>
      <c r="F15" s="477"/>
      <c r="G15" s="477"/>
      <c r="H15" s="477"/>
      <c r="I15" s="477"/>
      <c r="J15" s="478"/>
      <c r="K15" s="14"/>
      <c r="L15" s="489"/>
    </row>
    <row r="16" spans="2:12" ht="52" customHeight="1" x14ac:dyDescent="0.3">
      <c r="B16" s="18" t="s">
        <v>122</v>
      </c>
      <c r="C16" s="496" t="s">
        <v>203</v>
      </c>
      <c r="D16" s="502"/>
      <c r="E16" s="502"/>
      <c r="F16" s="502"/>
      <c r="G16" s="502"/>
      <c r="H16" s="502"/>
      <c r="I16" s="502"/>
      <c r="J16" s="503"/>
      <c r="K16" s="12"/>
      <c r="L16" s="489"/>
    </row>
    <row r="17" spans="2:12" ht="167.25" customHeight="1" x14ac:dyDescent="0.3">
      <c r="B17" s="19" t="s">
        <v>55</v>
      </c>
      <c r="C17" s="499" t="s">
        <v>188</v>
      </c>
      <c r="D17" s="504"/>
      <c r="E17" s="504"/>
      <c r="F17" s="504"/>
      <c r="G17" s="504"/>
      <c r="H17" s="504"/>
      <c r="I17" s="504"/>
      <c r="J17" s="505"/>
      <c r="K17" s="12"/>
      <c r="L17" s="489"/>
    </row>
    <row r="18" spans="2:12" ht="67" customHeight="1" thickBot="1" x14ac:dyDescent="0.35">
      <c r="B18" s="20" t="s">
        <v>123</v>
      </c>
      <c r="C18" s="491" t="s">
        <v>202</v>
      </c>
      <c r="D18" s="492"/>
      <c r="E18" s="492"/>
      <c r="F18" s="492"/>
      <c r="G18" s="492"/>
      <c r="H18" s="492"/>
      <c r="I18" s="492"/>
      <c r="J18" s="493"/>
      <c r="K18" s="12"/>
      <c r="L18" s="490"/>
    </row>
    <row r="19" spans="2:12" ht="14.15" customHeight="1" x14ac:dyDescent="0.3"/>
    <row r="20" spans="2:12" ht="14.15" customHeight="1" x14ac:dyDescent="0.3"/>
    <row r="21" spans="2:12" ht="14.15" customHeight="1" x14ac:dyDescent="0.3"/>
    <row r="22" spans="2:12" ht="14.15" customHeight="1" x14ac:dyDescent="0.3">
      <c r="D22" s="17"/>
    </row>
    <row r="23" spans="2:12" ht="14.15" customHeight="1" x14ac:dyDescent="0.3"/>
    <row r="24" spans="2:12" ht="14.15" customHeight="1" x14ac:dyDescent="0.3"/>
    <row r="25" spans="2:12" ht="14.15" customHeight="1" x14ac:dyDescent="0.3"/>
    <row r="26" spans="2:12" ht="14.15" customHeight="1" x14ac:dyDescent="0.3"/>
    <row r="27" spans="2:12" ht="14.15" customHeight="1" x14ac:dyDescent="0.3"/>
    <row r="28" spans="2:12" ht="14.15" customHeight="1" x14ac:dyDescent="0.3"/>
    <row r="29" spans="2:12" ht="14.15" customHeight="1" x14ac:dyDescent="0.3"/>
    <row r="30" spans="2:12" ht="14.15" customHeight="1" x14ac:dyDescent="0.3"/>
    <row r="31" spans="2:12" ht="14.15" customHeight="1" x14ac:dyDescent="0.3"/>
    <row r="32" spans="2:1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row r="48" ht="14.15" customHeight="1" x14ac:dyDescent="0.3"/>
    <row r="49" ht="14.15" customHeight="1" x14ac:dyDescent="0.3"/>
    <row r="50" ht="14.15" customHeight="1" x14ac:dyDescent="0.3"/>
    <row r="51" ht="14.15" customHeight="1" x14ac:dyDescent="0.3"/>
    <row r="52" ht="14.15" customHeight="1" x14ac:dyDescent="0.3"/>
    <row r="53" ht="14.15" customHeight="1" x14ac:dyDescent="0.3"/>
    <row r="54" ht="14.15" customHeight="1" x14ac:dyDescent="0.3"/>
    <row r="55" ht="14.15" customHeight="1" x14ac:dyDescent="0.3"/>
    <row r="56" ht="14.15" customHeight="1" x14ac:dyDescent="0.3"/>
    <row r="57" ht="14.15" customHeight="1" x14ac:dyDescent="0.3"/>
    <row r="58" ht="14.15" customHeight="1" x14ac:dyDescent="0.3"/>
    <row r="59" ht="14.15" customHeight="1" x14ac:dyDescent="0.3"/>
    <row r="60" ht="14.15" customHeight="1" x14ac:dyDescent="0.3"/>
    <row r="61" ht="14.15" customHeight="1" x14ac:dyDescent="0.3"/>
    <row r="62" ht="14.15" customHeight="1" x14ac:dyDescent="0.3"/>
    <row r="63" ht="14.15" customHeight="1" x14ac:dyDescent="0.3"/>
    <row r="64" ht="14.15" customHeight="1" x14ac:dyDescent="0.3"/>
    <row r="65" ht="14.15" customHeight="1" x14ac:dyDescent="0.3"/>
    <row r="66" ht="14.15" customHeight="1" x14ac:dyDescent="0.3"/>
    <row r="67" ht="14.15" customHeight="1" x14ac:dyDescent="0.3"/>
    <row r="68" ht="14.15" customHeight="1" x14ac:dyDescent="0.3"/>
    <row r="69" ht="14.15" customHeight="1" x14ac:dyDescent="0.3"/>
    <row r="70" ht="14.15" customHeight="1" x14ac:dyDescent="0.3"/>
    <row r="71" ht="14.15" customHeight="1" x14ac:dyDescent="0.3"/>
    <row r="72" ht="14.15" customHeight="1" x14ac:dyDescent="0.3"/>
    <row r="73" ht="14.15" customHeight="1" x14ac:dyDescent="0.3"/>
    <row r="74" ht="14.15" customHeight="1" x14ac:dyDescent="0.3"/>
    <row r="75" ht="14.15" customHeight="1" x14ac:dyDescent="0.3"/>
    <row r="76" ht="14.15" customHeight="1" x14ac:dyDescent="0.3"/>
    <row r="77" ht="14.15" customHeight="1" x14ac:dyDescent="0.3"/>
  </sheetData>
  <sheetProtection algorithmName="SHA-512" hashValue="Vg6sWKgt8HJUloIOh5CHKechu/M2KOeOQV9WtKwLY4F65jTnp7JOvUJYgvnfUibqszvAIvM07hxbfPDpJDygiA==" saltValue="3/hNKElvUy6J3VaG2pzGww==" spinCount="100000" sheet="1" selectLockedCells="1"/>
  <protectedRanges>
    <protectedRange password="CAA2" sqref="D8:D11" name="Summe"/>
  </protectedRanges>
  <customSheetViews>
    <customSheetView guid="{168849A9-FED9-4458-942F-290616B3A25C}" scale="85" showPageBreaks="1" showGridLines="0" fitToPage="1" printArea="1" topLeftCell="A13">
      <selection activeCell="C16" sqref="C16:I16"/>
      <pageMargins left="0.70866141732283472" right="0.70866141732283472" top="1.1811023622047245" bottom="0.78740157480314965" header="0.31496062992125984" footer="0.31496062992125984"/>
      <pageSetup paperSize="8" scale="83" fitToHeight="0" orientation="landscape" cellComments="atEnd" r:id="rId1"/>
      <headerFooter>
        <oddHeader>&amp;LKennzahlenraster KIP / IAS&amp;R&amp;G</oddHeader>
        <oddFooter>&amp;L&amp;A: Bildung&amp;R&amp;P</oddFooter>
      </headerFooter>
    </customSheetView>
  </customSheetViews>
  <mergeCells count="10">
    <mergeCell ref="B1:J1"/>
    <mergeCell ref="L7:L18"/>
    <mergeCell ref="B15:J15"/>
    <mergeCell ref="C18:J18"/>
    <mergeCell ref="C3:D3"/>
    <mergeCell ref="C4:D4"/>
    <mergeCell ref="C16:J16"/>
    <mergeCell ref="C17:J17"/>
    <mergeCell ref="B6:J6"/>
    <mergeCell ref="B8:B10"/>
  </mergeCells>
  <dataValidations count="4">
    <dataValidation type="whole" operator="greaterThanOrEqual" allowBlank="1" showErrorMessage="1" errorTitle="Fehler" error="Gültig sind nur positive, ganze Zahlen (0, 200, etc.). Kein Text" promptTitle="Ganze Zahlen" prompt="Nur ganzzahlige Werte (0, 1, 200 etc.)" sqref="E10:J10" xr:uid="{00000000-0002-0000-0600-000000000000}">
      <formula1>0</formula1>
    </dataValidation>
    <dataValidation allowBlank="1" showInputMessage="1" showErrorMessage="1" errorTitle="Data del rilevamento" error="Si prega di compilare" promptTitle="Data del rilevamento" prompt="Si prega di compilare" sqref="C4:D4" xr:uid="{00000000-0002-0000-0600-000001000000}"/>
    <dataValidation allowBlank="1" sqref="D11:J11" xr:uid="{00000000-0002-0000-0600-000002000000}"/>
    <dataValidation type="whole" operator="greaterThanOrEqual" allowBlank="1" showErrorMessage="1" errorTitle="Fehler" error="Solo i numeri interi e positivi sono validi (0, 200, etc.). " promptTitle="Ganze Zahlen" prompt="Nur ganzzahlige Werte (0, 1, 200 etc.)" sqref="E8:J9" xr:uid="{00000000-0002-0000-0600-000003000000}">
      <formula1>0</formula1>
    </dataValidation>
  </dataValidations>
  <pageMargins left="0.70866141732283472" right="0.70866141732283472" top="1.1811023622047245" bottom="0.78740157480314965" header="0.31496062992125984" footer="0.31496062992125984"/>
  <pageSetup paperSize="8" scale="83" fitToHeight="0" orientation="landscape" cellComments="atEnd" r:id="rId2"/>
  <headerFooter>
    <oddFooter>&amp;L&amp;A: Bildung&amp;R&amp;P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3" tint="0.59999389629810485"/>
    <pageSetUpPr fitToPage="1"/>
  </sheetPr>
  <dimension ref="B1:K34"/>
  <sheetViews>
    <sheetView showGridLines="0" zoomScale="70" zoomScaleNormal="70" workbookViewId="0">
      <selection activeCell="E8" sqref="E8"/>
    </sheetView>
  </sheetViews>
  <sheetFormatPr baseColWidth="10" defaultColWidth="11" defaultRowHeight="14" x14ac:dyDescent="0.3"/>
  <cols>
    <col min="1" max="1" width="2.08203125" style="13" customWidth="1"/>
    <col min="2" max="2" width="37.33203125" style="13" customWidth="1"/>
    <col min="3" max="9" width="15.83203125" style="13" customWidth="1"/>
    <col min="10" max="10" width="2.58203125" style="13" customWidth="1"/>
    <col min="11" max="11" width="63.58203125" style="13" customWidth="1"/>
    <col min="12" max="12" width="2.08203125" style="13" customWidth="1"/>
    <col min="13" max="16384" width="11" style="13"/>
  </cols>
  <sheetData>
    <row r="1" spans="2:11" s="1" customFormat="1" ht="28" x14ac:dyDescent="0.6">
      <c r="B1" s="467" t="s">
        <v>127</v>
      </c>
      <c r="C1" s="467"/>
      <c r="D1" s="467"/>
      <c r="E1" s="467"/>
      <c r="F1" s="467"/>
      <c r="G1" s="467"/>
      <c r="H1" s="467"/>
      <c r="I1" s="467"/>
    </row>
    <row r="2" spans="2:11" s="1" customFormat="1" x14ac:dyDescent="0.3">
      <c r="B2" s="16"/>
      <c r="C2" s="16"/>
      <c r="D2" s="16"/>
      <c r="E2" s="16"/>
      <c r="F2" s="16"/>
      <c r="G2" s="16"/>
    </row>
    <row r="3" spans="2:11" s="1" customFormat="1" ht="28.5" customHeight="1" x14ac:dyDescent="0.3">
      <c r="B3" s="303" t="s">
        <v>42</v>
      </c>
      <c r="C3" s="469" t="str">
        <f>Indice!D4</f>
        <v>CH</v>
      </c>
      <c r="D3" s="469"/>
      <c r="E3" s="93"/>
      <c r="F3" s="93"/>
    </row>
    <row r="4" spans="2:11" s="1" customFormat="1" ht="28.5" customHeight="1" x14ac:dyDescent="0.3">
      <c r="B4" s="303" t="s">
        <v>51</v>
      </c>
      <c r="C4" s="468"/>
      <c r="D4" s="468"/>
      <c r="E4" s="93"/>
      <c r="F4" s="93"/>
      <c r="H4" s="94"/>
    </row>
    <row r="5" spans="2:11" ht="14.15" customHeight="1" thickBot="1" x14ac:dyDescent="0.35"/>
    <row r="6" spans="2:11" ht="45" customHeight="1" thickBot="1" x14ac:dyDescent="0.35">
      <c r="B6" s="470"/>
      <c r="C6" s="471"/>
      <c r="D6" s="471"/>
      <c r="E6" s="471"/>
      <c r="F6" s="471"/>
      <c r="G6" s="471"/>
      <c r="H6" s="471"/>
      <c r="I6" s="472"/>
      <c r="K6" s="67" t="s">
        <v>57</v>
      </c>
    </row>
    <row r="7" spans="2:11" s="16" customFormat="1" ht="45" customHeight="1" thickBot="1" x14ac:dyDescent="0.35">
      <c r="B7" s="154" t="s">
        <v>117</v>
      </c>
      <c r="C7" s="150" t="s">
        <v>56</v>
      </c>
      <c r="D7" s="151" t="s">
        <v>68</v>
      </c>
      <c r="E7" s="151" t="s">
        <v>118</v>
      </c>
      <c r="F7" s="151" t="s">
        <v>177</v>
      </c>
      <c r="G7" s="151" t="s">
        <v>70</v>
      </c>
      <c r="H7" s="152" t="s">
        <v>119</v>
      </c>
      <c r="I7" s="153" t="s">
        <v>120</v>
      </c>
      <c r="J7" s="122"/>
      <c r="K7" s="488"/>
    </row>
    <row r="8" spans="2:11" ht="60" customHeight="1" thickBot="1" x14ac:dyDescent="0.35">
      <c r="B8" s="297" t="s">
        <v>222</v>
      </c>
      <c r="C8" s="96">
        <f>SUM(D8:E8, G8)</f>
        <v>0</v>
      </c>
      <c r="D8" s="97"/>
      <c r="E8" s="98"/>
      <c r="F8" s="98"/>
      <c r="G8" s="98"/>
      <c r="H8" s="120"/>
      <c r="I8" s="99"/>
      <c r="K8" s="489"/>
    </row>
    <row r="9" spans="2:11" ht="43.5" customHeight="1" thickBot="1" x14ac:dyDescent="0.35">
      <c r="B9" s="253" t="s">
        <v>219</v>
      </c>
      <c r="C9" s="254">
        <f>SUM(D9:E9, G9)</f>
        <v>7404</v>
      </c>
      <c r="D9" s="252">
        <f>VLOOKUP($C$3,bestand_ias,3,FALSE)</f>
        <v>2995</v>
      </c>
      <c r="E9" s="249">
        <f>VLOOKUP($C$3,bestand_ias,4,FALSE)</f>
        <v>4409</v>
      </c>
      <c r="F9" s="249">
        <f>VLOOKUP($C$3,bestand_ias,5,FALSE)</f>
        <v>9461</v>
      </c>
      <c r="G9" s="249" t="s">
        <v>33</v>
      </c>
      <c r="H9" s="249">
        <f>VLOOKUP($C$3,bestand_ias,6,FALSE)</f>
        <v>1882</v>
      </c>
      <c r="I9" s="250">
        <f>VLOOKUP($C$3,bestand_ias,7,FALSE)</f>
        <v>5522</v>
      </c>
      <c r="K9" s="489"/>
    </row>
    <row r="10" spans="2:11" ht="14.15" customHeight="1" x14ac:dyDescent="0.3">
      <c r="B10" s="13" t="s">
        <v>216</v>
      </c>
      <c r="K10" s="489"/>
    </row>
    <row r="11" spans="2:11" ht="14.15" customHeight="1" x14ac:dyDescent="0.3">
      <c r="B11" s="13" t="s">
        <v>217</v>
      </c>
      <c r="K11" s="489"/>
    </row>
    <row r="12" spans="2:11" ht="14.15" customHeight="1" thickBot="1" x14ac:dyDescent="0.35">
      <c r="K12" s="489"/>
    </row>
    <row r="13" spans="2:11" ht="37.5" customHeight="1" thickBot="1" x14ac:dyDescent="0.35">
      <c r="B13" s="476" t="s">
        <v>121</v>
      </c>
      <c r="C13" s="477"/>
      <c r="D13" s="477"/>
      <c r="E13" s="477"/>
      <c r="F13" s="477"/>
      <c r="G13" s="477"/>
      <c r="H13" s="477"/>
      <c r="I13" s="478"/>
      <c r="J13" s="14"/>
      <c r="K13" s="489"/>
    </row>
    <row r="14" spans="2:11" ht="37.5" customHeight="1" x14ac:dyDescent="0.3">
      <c r="B14" s="18" t="s">
        <v>122</v>
      </c>
      <c r="C14" s="479" t="s">
        <v>204</v>
      </c>
      <c r="D14" s="479"/>
      <c r="E14" s="479"/>
      <c r="F14" s="479"/>
      <c r="G14" s="479"/>
      <c r="H14" s="479"/>
      <c r="I14" s="480"/>
      <c r="J14" s="12"/>
      <c r="K14" s="489"/>
    </row>
    <row r="15" spans="2:11" ht="121.5" customHeight="1" x14ac:dyDescent="0.3">
      <c r="B15" s="19" t="s">
        <v>55</v>
      </c>
      <c r="C15" s="481" t="s">
        <v>128</v>
      </c>
      <c r="D15" s="481"/>
      <c r="E15" s="481"/>
      <c r="F15" s="481"/>
      <c r="G15" s="481"/>
      <c r="H15" s="481"/>
      <c r="I15" s="482"/>
      <c r="J15" s="12"/>
      <c r="K15" s="489"/>
    </row>
    <row r="16" spans="2:11" ht="67" customHeight="1" thickBot="1" x14ac:dyDescent="0.35">
      <c r="B16" s="20" t="s">
        <v>123</v>
      </c>
      <c r="C16" s="483" t="s">
        <v>202</v>
      </c>
      <c r="D16" s="483"/>
      <c r="E16" s="483"/>
      <c r="F16" s="483"/>
      <c r="G16" s="483"/>
      <c r="H16" s="483"/>
      <c r="I16" s="484"/>
      <c r="J16" s="12"/>
      <c r="K16" s="490"/>
    </row>
    <row r="17" spans="3:3" ht="14.15" customHeight="1" x14ac:dyDescent="0.3"/>
    <row r="18" spans="3:3" ht="14.15" customHeight="1" x14ac:dyDescent="0.3"/>
    <row r="19" spans="3:3" ht="14.15" customHeight="1" x14ac:dyDescent="0.3"/>
    <row r="20" spans="3:3" ht="14.15" customHeight="1" x14ac:dyDescent="0.3">
      <c r="C20" s="17"/>
    </row>
    <row r="21" spans="3:3" ht="14.15" customHeight="1" x14ac:dyDescent="0.3"/>
    <row r="22" spans="3:3" ht="14.15" customHeight="1" x14ac:dyDescent="0.3"/>
    <row r="23" spans="3:3" ht="14.15" customHeight="1" x14ac:dyDescent="0.3"/>
    <row r="24" spans="3:3" ht="14.15" customHeight="1" x14ac:dyDescent="0.3"/>
    <row r="25" spans="3:3" ht="14.15" customHeight="1" x14ac:dyDescent="0.3"/>
    <row r="26" spans="3:3" ht="14.15" customHeight="1" x14ac:dyDescent="0.3"/>
    <row r="27" spans="3:3" ht="14.15" customHeight="1" x14ac:dyDescent="0.3"/>
    <row r="28" spans="3:3" ht="14.15" customHeight="1" x14ac:dyDescent="0.3"/>
    <row r="29" spans="3:3" ht="14.15" customHeight="1" x14ac:dyDescent="0.3"/>
    <row r="30" spans="3:3" ht="14.15" customHeight="1" x14ac:dyDescent="0.3"/>
    <row r="31" spans="3:3" ht="14.15" customHeight="1" x14ac:dyDescent="0.3"/>
    <row r="32" spans="3:3" ht="14.15" customHeight="1" x14ac:dyDescent="0.3"/>
    <row r="33" ht="14.15" customHeight="1" x14ac:dyDescent="0.3"/>
    <row r="34" ht="14.15" customHeight="1" x14ac:dyDescent="0.3"/>
  </sheetData>
  <sheetProtection algorithmName="SHA-512" hashValue="/QwCUpyrkbIkX1U3qB8LwzPe0yXspDAbnke+PhwEXNvpWuvbQwf7g6wzMeidytv7Z0xfGZQySlmkOByWyaY4pw==" saltValue="e/5F3dxK6s01/JU7hCwX1Q==" spinCount="100000" sheet="1" selectLockedCells="1"/>
  <protectedRanges>
    <protectedRange password="CAA2" sqref="C8:C9" name="Summe"/>
  </protectedRanges>
  <customSheetViews>
    <customSheetView guid="{168849A9-FED9-4458-942F-290616B3A25C}" scale="70" showPageBreaks="1" showGridLines="0" fitToPage="1" printArea="1">
      <selection activeCell="J7" sqref="J7:J15"/>
      <pageMargins left="0.70866141732283472" right="0.70866141732283472" top="1.1811023622047245" bottom="0.78740157480314965" header="0.31496062992125984" footer="0.31496062992125984"/>
      <pageSetup paperSize="8" scale="83" fitToHeight="0" orientation="landscape" cellComments="atEnd" r:id="rId1"/>
      <headerFooter>
        <oddHeader>&amp;LKennzahlenraster KIP / IAS&amp;R&amp;G</oddHeader>
        <oddFooter>&amp;L&amp;A: Alphabetisierung&amp;R&amp;P</oddFooter>
      </headerFooter>
    </customSheetView>
  </customSheetViews>
  <mergeCells count="9">
    <mergeCell ref="B1:I1"/>
    <mergeCell ref="C3:D3"/>
    <mergeCell ref="C4:D4"/>
    <mergeCell ref="B6:I6"/>
    <mergeCell ref="K7:K16"/>
    <mergeCell ref="B13:I13"/>
    <mergeCell ref="C14:I14"/>
    <mergeCell ref="C15:I15"/>
    <mergeCell ref="C16:I16"/>
  </mergeCells>
  <dataValidations count="3">
    <dataValidation type="whole" operator="greaterThanOrEqual" allowBlank="1" showErrorMessage="1" errorTitle="Fehler" error="Solo i numeri interi e positivi sono validi (0, 200, etc.). " promptTitle="Ganze Zahlen" prompt="Nur ganzzahlige Werte (0, 1, 200 etc.)" sqref="D8:I8" xr:uid="{00000000-0002-0000-0700-000000000000}">
      <formula1>0</formula1>
    </dataValidation>
    <dataValidation allowBlank="1" showInputMessage="1" showErrorMessage="1" errorTitle="Data del rilevamento" error="Si prega di compilare" promptTitle="Data del rilevamento" prompt="Si prega di compilare" sqref="C4:D4" xr:uid="{00000000-0002-0000-0700-000001000000}"/>
    <dataValidation allowBlank="1" sqref="C9:I9" xr:uid="{00000000-0002-0000-0700-000002000000}"/>
  </dataValidations>
  <pageMargins left="0.70866141732283472" right="0.70866141732283472" top="1.1811023622047245" bottom="0.78740157480314965" header="0.31496062992125984" footer="0.31496062992125984"/>
  <pageSetup paperSize="8" scale="87" fitToHeight="0" orientation="landscape" cellComments="atEnd" r:id="rId2"/>
  <headerFooter>
    <oddFooter>&amp;L&amp;A: Alphabetisierung&amp;R&amp;P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3" tint="0.59999389629810485"/>
    <pageSetUpPr fitToPage="1"/>
  </sheetPr>
  <dimension ref="B1:L40"/>
  <sheetViews>
    <sheetView showGridLines="0" zoomScale="70" zoomScaleNormal="70" workbookViewId="0">
      <selection activeCell="E8" sqref="E8:J9"/>
    </sheetView>
  </sheetViews>
  <sheetFormatPr baseColWidth="10" defaultColWidth="11" defaultRowHeight="14" x14ac:dyDescent="0.3"/>
  <cols>
    <col min="1" max="1" width="2.08203125" style="13" customWidth="1"/>
    <col min="2" max="2" width="37.33203125" style="13" customWidth="1"/>
    <col min="3" max="3" width="12.08203125" style="13" customWidth="1"/>
    <col min="4" max="10" width="15.83203125" style="13" customWidth="1"/>
    <col min="11" max="11" width="2.58203125" style="13" customWidth="1"/>
    <col min="12" max="12" width="63.58203125" style="13" customWidth="1"/>
    <col min="13" max="13" width="2.08203125" style="13" customWidth="1"/>
    <col min="14" max="16384" width="11" style="13"/>
  </cols>
  <sheetData>
    <row r="1" spans="2:12" s="1" customFormat="1" ht="28" x14ac:dyDescent="0.6">
      <c r="B1" s="467" t="s">
        <v>129</v>
      </c>
      <c r="C1" s="467"/>
      <c r="D1" s="467"/>
      <c r="E1" s="467"/>
      <c r="F1" s="467"/>
      <c r="G1" s="467"/>
      <c r="H1" s="467"/>
      <c r="I1" s="467"/>
      <c r="J1" s="467"/>
    </row>
    <row r="2" spans="2:12" s="1" customFormat="1" x14ac:dyDescent="0.3">
      <c r="B2" s="16"/>
      <c r="C2" s="16"/>
      <c r="D2" s="16"/>
      <c r="E2" s="16"/>
      <c r="F2" s="16"/>
      <c r="G2" s="16"/>
    </row>
    <row r="3" spans="2:12" s="1" customFormat="1" ht="28.5" customHeight="1" x14ac:dyDescent="0.3">
      <c r="B3" s="303" t="s">
        <v>42</v>
      </c>
      <c r="C3" s="469" t="str">
        <f>Indice!D4</f>
        <v>CH</v>
      </c>
      <c r="D3" s="469"/>
      <c r="E3" s="93"/>
    </row>
    <row r="4" spans="2:12" s="1" customFormat="1" ht="28.5" customHeight="1" x14ac:dyDescent="0.3">
      <c r="B4" s="303" t="s">
        <v>51</v>
      </c>
      <c r="C4" s="468"/>
      <c r="D4" s="468"/>
      <c r="E4" s="93"/>
      <c r="H4" s="94"/>
    </row>
    <row r="5" spans="2:12" ht="14.15" customHeight="1" thickBot="1" x14ac:dyDescent="0.35"/>
    <row r="6" spans="2:12" ht="45" customHeight="1" thickBot="1" x14ac:dyDescent="0.35">
      <c r="B6" s="470"/>
      <c r="C6" s="471"/>
      <c r="D6" s="471"/>
      <c r="E6" s="471"/>
      <c r="F6" s="471"/>
      <c r="G6" s="471"/>
      <c r="H6" s="471"/>
      <c r="I6" s="471"/>
      <c r="J6" s="472"/>
      <c r="L6" s="67" t="s">
        <v>57</v>
      </c>
    </row>
    <row r="7" spans="2:12" s="16" customFormat="1" ht="45" customHeight="1" thickBot="1" x14ac:dyDescent="0.35">
      <c r="B7" s="154" t="s">
        <v>117</v>
      </c>
      <c r="C7" s="149"/>
      <c r="D7" s="150" t="s">
        <v>56</v>
      </c>
      <c r="E7" s="151" t="s">
        <v>68</v>
      </c>
      <c r="F7" s="151" t="s">
        <v>118</v>
      </c>
      <c r="G7" s="151" t="s">
        <v>177</v>
      </c>
      <c r="H7" s="151" t="s">
        <v>70</v>
      </c>
      <c r="I7" s="152" t="s">
        <v>119</v>
      </c>
      <c r="J7" s="147" t="s">
        <v>120</v>
      </c>
      <c r="K7" s="122"/>
      <c r="L7" s="488"/>
    </row>
    <row r="8" spans="2:12" ht="60" customHeight="1" x14ac:dyDescent="0.3">
      <c r="B8" s="494" t="s">
        <v>223</v>
      </c>
      <c r="C8" s="22" t="s">
        <v>93</v>
      </c>
      <c r="D8" s="101">
        <f>SUM(E8:F8, H8)</f>
        <v>0</v>
      </c>
      <c r="E8" s="97"/>
      <c r="F8" s="98"/>
      <c r="G8" s="98"/>
      <c r="H8" s="98"/>
      <c r="I8" s="120"/>
      <c r="J8" s="99"/>
      <c r="L8" s="489"/>
    </row>
    <row r="9" spans="2:12" ht="60" customHeight="1" thickBot="1" x14ac:dyDescent="0.35">
      <c r="B9" s="495"/>
      <c r="C9" s="296" t="s">
        <v>94</v>
      </c>
      <c r="D9" s="165">
        <f>SUM(E9:F9, H9)</f>
        <v>0</v>
      </c>
      <c r="E9" s="107"/>
      <c r="F9" s="108"/>
      <c r="G9" s="108"/>
      <c r="H9" s="108"/>
      <c r="I9" s="108"/>
      <c r="J9" s="109"/>
      <c r="L9" s="489"/>
    </row>
    <row r="10" spans="2:12" ht="60" customHeight="1" thickBot="1" x14ac:dyDescent="0.35">
      <c r="B10" s="21"/>
      <c r="C10" s="304" t="s">
        <v>0</v>
      </c>
      <c r="D10" s="100">
        <f>SUM(E10:F10, H10)</f>
        <v>0</v>
      </c>
      <c r="E10" s="166">
        <f t="shared" ref="E10:J10" si="0">SUM(E8:E9)</f>
        <v>0</v>
      </c>
      <c r="F10" s="112">
        <f t="shared" si="0"/>
        <v>0</v>
      </c>
      <c r="G10" s="112">
        <f t="shared" si="0"/>
        <v>0</v>
      </c>
      <c r="H10" s="112">
        <f t="shared" si="0"/>
        <v>0</v>
      </c>
      <c r="I10" s="112">
        <f t="shared" si="0"/>
        <v>0</v>
      </c>
      <c r="J10" s="113">
        <f t="shared" si="0"/>
        <v>0</v>
      </c>
      <c r="L10" s="489"/>
    </row>
    <row r="11" spans="2:12" ht="43.5" customHeight="1" thickBot="1" x14ac:dyDescent="0.35">
      <c r="B11" s="251" t="s">
        <v>219</v>
      </c>
      <c r="C11" s="244"/>
      <c r="D11" s="255">
        <f>SUM(E11:F11, H11)</f>
        <v>7404</v>
      </c>
      <c r="E11" s="252">
        <f>VLOOKUP($C$3,bestand_ias,3,FALSE)</f>
        <v>2995</v>
      </c>
      <c r="F11" s="249">
        <f>VLOOKUP($C$3,bestand_ias,4,FALSE)</f>
        <v>4409</v>
      </c>
      <c r="G11" s="249">
        <f>VLOOKUP($C$3,bestand_ias,5,FALSE)</f>
        <v>9461</v>
      </c>
      <c r="H11" s="249" t="s">
        <v>33</v>
      </c>
      <c r="I11" s="249">
        <f>VLOOKUP($C$3,bestand_ias,6,FALSE)</f>
        <v>1882</v>
      </c>
      <c r="J11" s="250">
        <f>VLOOKUP($C$3,bestand_ias,7,FALSE)</f>
        <v>5522</v>
      </c>
      <c r="L11" s="489"/>
    </row>
    <row r="12" spans="2:12" ht="14.15" customHeight="1" x14ac:dyDescent="0.3">
      <c r="B12" s="13" t="s">
        <v>216</v>
      </c>
      <c r="L12" s="489"/>
    </row>
    <row r="13" spans="2:12" ht="14.15" customHeight="1" x14ac:dyDescent="0.3">
      <c r="B13" s="13" t="s">
        <v>217</v>
      </c>
      <c r="L13" s="489"/>
    </row>
    <row r="14" spans="2:12" ht="14.15" customHeight="1" thickBot="1" x14ac:dyDescent="0.35">
      <c r="L14" s="489"/>
    </row>
    <row r="15" spans="2:12" ht="45" customHeight="1" thickBot="1" x14ac:dyDescent="0.35">
      <c r="B15" s="476" t="s">
        <v>121</v>
      </c>
      <c r="C15" s="477"/>
      <c r="D15" s="477"/>
      <c r="E15" s="477"/>
      <c r="F15" s="477"/>
      <c r="G15" s="477"/>
      <c r="H15" s="477"/>
      <c r="I15" s="477"/>
      <c r="J15" s="478"/>
      <c r="K15" s="14"/>
      <c r="L15" s="489"/>
    </row>
    <row r="16" spans="2:12" ht="51" customHeight="1" x14ac:dyDescent="0.3">
      <c r="B16" s="18" t="s">
        <v>122</v>
      </c>
      <c r="C16" s="496" t="s">
        <v>208</v>
      </c>
      <c r="D16" s="502"/>
      <c r="E16" s="502"/>
      <c r="F16" s="502"/>
      <c r="G16" s="502"/>
      <c r="H16" s="502"/>
      <c r="I16" s="502"/>
      <c r="J16" s="503"/>
      <c r="K16" s="12"/>
      <c r="L16" s="489"/>
    </row>
    <row r="17" spans="2:12" ht="125.5" customHeight="1" x14ac:dyDescent="0.3">
      <c r="B17" s="19" t="s">
        <v>55</v>
      </c>
      <c r="C17" s="499" t="s">
        <v>130</v>
      </c>
      <c r="D17" s="504"/>
      <c r="E17" s="504"/>
      <c r="F17" s="504"/>
      <c r="G17" s="504"/>
      <c r="H17" s="504"/>
      <c r="I17" s="504"/>
      <c r="J17" s="505"/>
      <c r="K17" s="12"/>
      <c r="L17" s="489"/>
    </row>
    <row r="18" spans="2:12" ht="64" customHeight="1" thickBot="1" x14ac:dyDescent="0.35">
      <c r="B18" s="20" t="s">
        <v>123</v>
      </c>
      <c r="C18" s="491" t="s">
        <v>202</v>
      </c>
      <c r="D18" s="492"/>
      <c r="E18" s="492"/>
      <c r="F18" s="492"/>
      <c r="G18" s="492"/>
      <c r="H18" s="492"/>
      <c r="I18" s="492"/>
      <c r="J18" s="493"/>
      <c r="K18" s="12"/>
      <c r="L18" s="490"/>
    </row>
    <row r="19" spans="2:12" ht="14.15" customHeight="1" x14ac:dyDescent="0.3"/>
    <row r="20" spans="2:12" ht="14.15" customHeight="1" x14ac:dyDescent="0.3"/>
    <row r="21" spans="2:12" ht="14.15" customHeight="1" x14ac:dyDescent="0.3"/>
    <row r="22" spans="2:12" ht="14.15" customHeight="1" x14ac:dyDescent="0.3">
      <c r="D22" s="17"/>
    </row>
    <row r="23" spans="2:12" ht="14.15" customHeight="1" x14ac:dyDescent="0.3"/>
    <row r="24" spans="2:12" ht="14.15" customHeight="1" x14ac:dyDescent="0.3"/>
    <row r="25" spans="2:12" ht="14.15" customHeight="1" x14ac:dyDescent="0.3"/>
    <row r="26" spans="2:12" ht="14.15" customHeight="1" x14ac:dyDescent="0.3"/>
    <row r="27" spans="2:12" ht="14.15" customHeight="1" x14ac:dyDescent="0.3"/>
    <row r="28" spans="2:12" ht="14.15" customHeight="1" x14ac:dyDescent="0.3"/>
    <row r="29" spans="2:12" ht="14.15" customHeight="1" x14ac:dyDescent="0.3"/>
    <row r="30" spans="2:12" ht="14.15" customHeight="1" x14ac:dyDescent="0.3"/>
    <row r="31" spans="2:12" ht="14.15" customHeight="1" x14ac:dyDescent="0.3"/>
    <row r="32" spans="2:1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sheetData>
  <sheetProtection algorithmName="SHA-512" hashValue="sW875Hs/4CMTKVjKVgq//sHgxvAcppuECPiXuY/JOqMORk4mEamaYazTZkXhmqe6SoTTJoXuW/+TLsRRZUoMfg==" saltValue="xyKajETfvnktbD7mDJUkgA==" spinCount="100000" sheet="1" selectLockedCells="1"/>
  <protectedRanges>
    <protectedRange password="CAA2" sqref="D8:D11" name="Summe"/>
  </protectedRanges>
  <customSheetViews>
    <customSheetView guid="{168849A9-FED9-4458-942F-290616B3A25C}" scale="85" showPageBreaks="1" showGridLines="0" fitToPage="1" printArea="1" topLeftCell="A13">
      <selection activeCell="C15" sqref="C15:I15"/>
      <pageMargins left="0.70866141732283472" right="0.70866141732283472" top="1.1811023622047245" bottom="0.78740157480314965" header="0.31496062992125984" footer="0.31496062992125984"/>
      <pageSetup paperSize="8" scale="83" fitToHeight="0" orientation="landscape" cellComments="atEnd" r:id="rId1"/>
      <headerFooter>
        <oddHeader>&amp;LKennzahlenraster KIP / IAS&amp;R&amp;G</oddHeader>
        <oddFooter>&amp;L&amp;A: Potenzial&amp;R&amp;P</oddFooter>
      </headerFooter>
    </customSheetView>
  </customSheetViews>
  <mergeCells count="10">
    <mergeCell ref="C3:D3"/>
    <mergeCell ref="C4:D4"/>
    <mergeCell ref="C16:J16"/>
    <mergeCell ref="C17:J17"/>
    <mergeCell ref="B1:J1"/>
    <mergeCell ref="C18:J18"/>
    <mergeCell ref="B8:B9"/>
    <mergeCell ref="B6:J6"/>
    <mergeCell ref="L7:L18"/>
    <mergeCell ref="B15:J15"/>
  </mergeCells>
  <dataValidations count="4">
    <dataValidation type="whole" operator="greaterThanOrEqual" allowBlank="1" showErrorMessage="1" errorTitle="Fehler" error="Gültig sind nur positive, ganze Zahlen (0, 200, etc.). Kein Text" promptTitle="Ganze Zahlen" prompt="Nur ganzzahlige Werte (0, 1, 200 etc.)" sqref="E10:J10" xr:uid="{00000000-0002-0000-0800-000000000000}">
      <formula1>0</formula1>
    </dataValidation>
    <dataValidation allowBlank="1" showInputMessage="1" showErrorMessage="1" errorTitle="Data del rilevamento" error="Si prega di compilare" promptTitle="Data del rilevamento" prompt="Si prega di compilare" sqref="C4:D4" xr:uid="{00000000-0002-0000-0800-000001000000}"/>
    <dataValidation allowBlank="1" sqref="D11:J11" xr:uid="{00000000-0002-0000-0800-000002000000}"/>
    <dataValidation type="whole" operator="greaterThanOrEqual" allowBlank="1" showErrorMessage="1" errorTitle="Fehler" error="Solo i numeri interi e positivi sono validi (0, 200, etc.). " promptTitle="Ganze Zahlen" prompt="Nur ganzzahlige Werte (0, 1, 200 etc.)" sqref="E8:J9" xr:uid="{00000000-0002-0000-0800-000003000000}">
      <formula1>0</formula1>
    </dataValidation>
  </dataValidations>
  <pageMargins left="0.70866141732283472" right="0.70866141732283472" top="1.1811023622047245" bottom="0.78740157480314965" header="0.31496062992125984" footer="0.31496062992125984"/>
  <pageSetup paperSize="8" scale="83" fitToHeight="0" orientation="landscape" cellComments="atEnd" r:id="rId2"/>
  <headerFooter>
    <oddFooter>&amp;L&amp;A: Potenzial&amp;R&amp;P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3" tint="0.59999389629810485"/>
    <pageSetUpPr fitToPage="1"/>
  </sheetPr>
  <dimension ref="B1:K31"/>
  <sheetViews>
    <sheetView showGridLines="0" zoomScale="70" zoomScaleNormal="70" workbookViewId="0">
      <selection activeCell="D8" sqref="D8"/>
    </sheetView>
  </sheetViews>
  <sheetFormatPr baseColWidth="10" defaultColWidth="11" defaultRowHeight="14" x14ac:dyDescent="0.3"/>
  <cols>
    <col min="1" max="1" width="2.08203125" style="13" customWidth="1"/>
    <col min="2" max="2" width="37.33203125" style="13" customWidth="1"/>
    <col min="3" max="9" width="15.83203125" style="13" customWidth="1"/>
    <col min="10" max="10" width="2.58203125" style="13" customWidth="1"/>
    <col min="11" max="11" width="63.58203125" style="13" customWidth="1"/>
    <col min="12" max="12" width="2.08203125" style="13" customWidth="1"/>
    <col min="13" max="16384" width="11" style="13"/>
  </cols>
  <sheetData>
    <row r="1" spans="2:11" s="1" customFormat="1" ht="28" x14ac:dyDescent="0.6">
      <c r="B1" s="467" t="s">
        <v>131</v>
      </c>
      <c r="C1" s="467"/>
      <c r="D1" s="467"/>
      <c r="E1" s="467"/>
      <c r="F1" s="467"/>
      <c r="G1" s="467"/>
      <c r="H1" s="467"/>
      <c r="I1" s="467"/>
    </row>
    <row r="2" spans="2:11" s="1" customFormat="1" x14ac:dyDescent="0.3">
      <c r="B2" s="16"/>
      <c r="C2" s="16"/>
      <c r="D2" s="16"/>
      <c r="E2" s="16"/>
      <c r="F2" s="16"/>
      <c r="G2" s="16"/>
    </row>
    <row r="3" spans="2:11" s="1" customFormat="1" ht="28.5" customHeight="1" x14ac:dyDescent="0.3">
      <c r="B3" s="303" t="s">
        <v>42</v>
      </c>
      <c r="C3" s="469" t="str">
        <f>Indice!D4</f>
        <v>CH</v>
      </c>
      <c r="D3" s="469"/>
      <c r="E3" s="93"/>
      <c r="F3" s="93"/>
    </row>
    <row r="4" spans="2:11" s="1" customFormat="1" ht="28.5" customHeight="1" x14ac:dyDescent="0.3">
      <c r="B4" s="303" t="s">
        <v>51</v>
      </c>
      <c r="C4" s="468"/>
      <c r="D4" s="468"/>
      <c r="E4" s="93"/>
      <c r="F4" s="93"/>
      <c r="H4" s="94"/>
    </row>
    <row r="5" spans="2:11" ht="13" customHeight="1" thickBot="1" x14ac:dyDescent="0.35"/>
    <row r="6" spans="2:11" ht="45" customHeight="1" thickBot="1" x14ac:dyDescent="0.35">
      <c r="B6" s="470"/>
      <c r="C6" s="471"/>
      <c r="D6" s="471"/>
      <c r="E6" s="471"/>
      <c r="F6" s="471"/>
      <c r="G6" s="471"/>
      <c r="H6" s="471"/>
      <c r="I6" s="472"/>
      <c r="K6" s="67" t="s">
        <v>57</v>
      </c>
    </row>
    <row r="7" spans="2:11" s="16" customFormat="1" ht="45" customHeight="1" thickBot="1" x14ac:dyDescent="0.35">
      <c r="B7" s="154" t="s">
        <v>117</v>
      </c>
      <c r="C7" s="150" t="s">
        <v>56</v>
      </c>
      <c r="D7" s="151" t="s">
        <v>68</v>
      </c>
      <c r="E7" s="151" t="s">
        <v>118</v>
      </c>
      <c r="F7" s="151" t="s">
        <v>177</v>
      </c>
      <c r="G7" s="151" t="s">
        <v>70</v>
      </c>
      <c r="H7" s="152" t="s">
        <v>119</v>
      </c>
      <c r="I7" s="153" t="s">
        <v>120</v>
      </c>
      <c r="J7" s="122"/>
      <c r="K7" s="488"/>
    </row>
    <row r="8" spans="2:11" ht="60" customHeight="1" thickBot="1" x14ac:dyDescent="0.35">
      <c r="B8" s="297" t="s">
        <v>224</v>
      </c>
      <c r="C8" s="96">
        <f>SUM(D8:E8, G8)</f>
        <v>0</v>
      </c>
      <c r="D8" s="97"/>
      <c r="E8" s="98"/>
      <c r="F8" s="98"/>
      <c r="G8" s="98"/>
      <c r="H8" s="120"/>
      <c r="I8" s="99"/>
      <c r="K8" s="489"/>
    </row>
    <row r="9" spans="2:11" ht="43.5" customHeight="1" thickBot="1" x14ac:dyDescent="0.35">
      <c r="B9" s="256" t="s">
        <v>219</v>
      </c>
      <c r="C9" s="254">
        <f>SUM(D9:E9, G9)</f>
        <v>7404</v>
      </c>
      <c r="D9" s="252">
        <f>VLOOKUP($C$3,bestand_ias,3,FALSE)</f>
        <v>2995</v>
      </c>
      <c r="E9" s="249">
        <f>VLOOKUP($C$3,bestand_ias,4,FALSE)</f>
        <v>4409</v>
      </c>
      <c r="F9" s="249">
        <f>VLOOKUP($C$3,bestand_ias,5,FALSE)</f>
        <v>9461</v>
      </c>
      <c r="G9" s="249" t="s">
        <v>33</v>
      </c>
      <c r="H9" s="249">
        <f>VLOOKUP($C$3,bestand_ias,6,FALSE)</f>
        <v>1882</v>
      </c>
      <c r="I9" s="250">
        <f>VLOOKUP($C$3,bestand_ias,7,FALSE)</f>
        <v>5522</v>
      </c>
      <c r="K9" s="489"/>
    </row>
    <row r="10" spans="2:11" ht="14.15" customHeight="1" x14ac:dyDescent="0.3">
      <c r="B10" s="13" t="s">
        <v>216</v>
      </c>
      <c r="K10" s="489"/>
    </row>
    <row r="11" spans="2:11" ht="14.15" customHeight="1" x14ac:dyDescent="0.3">
      <c r="B11" s="13" t="s">
        <v>217</v>
      </c>
      <c r="K11" s="489"/>
    </row>
    <row r="12" spans="2:11" ht="14.15" customHeight="1" thickBot="1" x14ac:dyDescent="0.35">
      <c r="K12" s="489"/>
    </row>
    <row r="13" spans="2:11" ht="45" customHeight="1" thickBot="1" x14ac:dyDescent="0.35">
      <c r="B13" s="476" t="s">
        <v>121</v>
      </c>
      <c r="C13" s="477"/>
      <c r="D13" s="477"/>
      <c r="E13" s="477"/>
      <c r="F13" s="477"/>
      <c r="G13" s="477"/>
      <c r="H13" s="477"/>
      <c r="I13" s="478"/>
      <c r="J13" s="14"/>
      <c r="K13" s="489"/>
    </row>
    <row r="14" spans="2:11" ht="21" customHeight="1" x14ac:dyDescent="0.3">
      <c r="B14" s="18" t="s">
        <v>122</v>
      </c>
      <c r="C14" s="479" t="s">
        <v>97</v>
      </c>
      <c r="D14" s="479"/>
      <c r="E14" s="479"/>
      <c r="F14" s="479"/>
      <c r="G14" s="479"/>
      <c r="H14" s="479"/>
      <c r="I14" s="480"/>
      <c r="J14" s="12"/>
      <c r="K14" s="489"/>
    </row>
    <row r="15" spans="2:11" ht="43.5" customHeight="1" x14ac:dyDescent="0.3">
      <c r="B15" s="19" t="s">
        <v>55</v>
      </c>
      <c r="C15" s="481" t="s">
        <v>132</v>
      </c>
      <c r="D15" s="481"/>
      <c r="E15" s="481"/>
      <c r="F15" s="481"/>
      <c r="G15" s="481"/>
      <c r="H15" s="481"/>
      <c r="I15" s="482"/>
      <c r="J15" s="12"/>
      <c r="K15" s="489"/>
    </row>
    <row r="16" spans="2:11" ht="73" customHeight="1" thickBot="1" x14ac:dyDescent="0.35">
      <c r="B16" s="20" t="s">
        <v>123</v>
      </c>
      <c r="C16" s="483" t="s">
        <v>202</v>
      </c>
      <c r="D16" s="483"/>
      <c r="E16" s="483"/>
      <c r="F16" s="483"/>
      <c r="G16" s="483"/>
      <c r="H16" s="483"/>
      <c r="I16" s="484"/>
      <c r="J16" s="12"/>
      <c r="K16" s="490"/>
    </row>
    <row r="17" spans="3:3" ht="14.15" customHeight="1" x14ac:dyDescent="0.3"/>
    <row r="18" spans="3:3" ht="14.15" customHeight="1" x14ac:dyDescent="0.3"/>
    <row r="19" spans="3:3" ht="14.15" customHeight="1" x14ac:dyDescent="0.3"/>
    <row r="20" spans="3:3" ht="14.15" customHeight="1" x14ac:dyDescent="0.3">
      <c r="C20" s="17"/>
    </row>
    <row r="21" spans="3:3" ht="14.15" customHeight="1" x14ac:dyDescent="0.3"/>
    <row r="22" spans="3:3" ht="14.15" customHeight="1" x14ac:dyDescent="0.3"/>
    <row r="23" spans="3:3" ht="14.15" customHeight="1" x14ac:dyDescent="0.3"/>
    <row r="24" spans="3:3" ht="14.15" customHeight="1" x14ac:dyDescent="0.3"/>
    <row r="25" spans="3:3" ht="14.15" customHeight="1" x14ac:dyDescent="0.3"/>
    <row r="26" spans="3:3" ht="14.15" customHeight="1" x14ac:dyDescent="0.3"/>
    <row r="27" spans="3:3" ht="14.15" customHeight="1" x14ac:dyDescent="0.3"/>
    <row r="28" spans="3:3" ht="14.15" customHeight="1" x14ac:dyDescent="0.3"/>
    <row r="29" spans="3:3" ht="14.15" customHeight="1" x14ac:dyDescent="0.3"/>
    <row r="30" spans="3:3" ht="14.15" customHeight="1" x14ac:dyDescent="0.3"/>
    <row r="31" spans="3:3" ht="14.15" customHeight="1" x14ac:dyDescent="0.3"/>
  </sheetData>
  <sheetProtection algorithmName="SHA-512" hashValue="1DNiu94yEFUwFs/aric8XYrA9zaM9EQJRnl5BT3qnoC+3IEfRNIBFfrGD9sKE1c3XKYD752ymLEL6rfWJRFBvw==" saltValue="CSOMcLp+qvYu4YN+27sSew==" spinCount="100000" sheet="1" selectLockedCells="1"/>
  <protectedRanges>
    <protectedRange password="CAA2" sqref="C8:C9" name="Summe"/>
  </protectedRanges>
  <customSheetViews>
    <customSheetView guid="{168849A9-FED9-4458-942F-290616B3A25C}" scale="85" showPageBreaks="1" showGridLines="0" fitToPage="1" printArea="1" topLeftCell="A7">
      <selection activeCell="B1" sqref="B1:H1"/>
      <pageMargins left="0.70866141732283472" right="0.70866141732283472" top="1.1811023622047245" bottom="0.78740157480314965" header="0.31496062992125984" footer="0.31496062992125984"/>
      <pageSetup paperSize="8" scale="87" fitToHeight="0" orientation="landscape" cellComments="atEnd" r:id="rId1"/>
      <headerFooter>
        <oddHeader>&amp;LKennzahlenraster KIP / IAS&amp;R&amp;G</oddHeader>
        <oddFooter>&amp;L&amp;A: Eröffnete Dossiers&amp;R&amp;P</oddFooter>
      </headerFooter>
    </customSheetView>
  </customSheetViews>
  <mergeCells count="9">
    <mergeCell ref="B1:I1"/>
    <mergeCell ref="C3:D3"/>
    <mergeCell ref="C4:D4"/>
    <mergeCell ref="B6:I6"/>
    <mergeCell ref="K7:K16"/>
    <mergeCell ref="B13:I13"/>
    <mergeCell ref="C14:I14"/>
    <mergeCell ref="C15:I15"/>
    <mergeCell ref="C16:I16"/>
  </mergeCells>
  <dataValidations count="3">
    <dataValidation type="whole" operator="greaterThanOrEqual" allowBlank="1" showErrorMessage="1" errorTitle="Data del rilevamento" error="Si prega di compliare" promptTitle="Ganze Zahlen" prompt="Nur ganzzahlige Werte (0, 1, 200 etc.)" sqref="D8:I8" xr:uid="{00000000-0002-0000-0900-000000000000}">
      <formula1>0</formula1>
    </dataValidation>
    <dataValidation allowBlank="1" showInputMessage="1" showErrorMessage="1" errorTitle="Data del rilevamento" error="Si prega di compilare" promptTitle="Data del rilevamento" prompt="Si prega di compilare" sqref="C4:D4" xr:uid="{00000000-0002-0000-0900-000001000000}"/>
    <dataValidation allowBlank="1" sqref="C9:I9" xr:uid="{00000000-0002-0000-0900-000002000000}"/>
  </dataValidations>
  <pageMargins left="0.70866141732283472" right="0.70866141732283472" top="1.1811023622047245" bottom="0.78740157480314965" header="0.31496062992125984" footer="0.31496062992125984"/>
  <pageSetup paperSize="8" scale="87" fitToHeight="0" orientation="landscape" cellComments="atEnd" r:id="rId2"/>
  <headerFooter>
    <oddFooter>&amp;L&amp;A: Eröffnete Dossiers&amp;R&amp;P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3" tint="0.59999389629810485"/>
    <pageSetUpPr fitToPage="1"/>
  </sheetPr>
  <dimension ref="B1:Q21"/>
  <sheetViews>
    <sheetView showGridLines="0" zoomScale="70" zoomScaleNormal="70" zoomScaleSheetLayoutView="50" workbookViewId="0">
      <selection activeCell="C16" sqref="C16:L16"/>
    </sheetView>
  </sheetViews>
  <sheetFormatPr baseColWidth="10" defaultColWidth="11" defaultRowHeight="14" x14ac:dyDescent="0.3"/>
  <cols>
    <col min="1" max="1" width="2.08203125" style="13" customWidth="1"/>
    <col min="2" max="2" width="37.33203125" style="13" customWidth="1"/>
    <col min="3" max="11" width="15.83203125" style="13" customWidth="1"/>
    <col min="12" max="12" width="20.25" style="13" hidden="1" customWidth="1"/>
    <col min="13" max="13" width="2.08203125" style="13" customWidth="1"/>
    <col min="14" max="14" width="63.58203125" style="13" customWidth="1"/>
    <col min="15" max="15" width="2.08203125" style="13" customWidth="1"/>
    <col min="16" max="16384" width="11" style="13"/>
  </cols>
  <sheetData>
    <row r="1" spans="2:17" s="1" customFormat="1" ht="28" x14ac:dyDescent="0.6">
      <c r="B1" s="467" t="s">
        <v>133</v>
      </c>
      <c r="C1" s="467"/>
      <c r="D1" s="467"/>
      <c r="E1" s="467"/>
      <c r="F1" s="467"/>
      <c r="G1" s="467"/>
      <c r="H1" s="467"/>
      <c r="I1" s="467"/>
      <c r="J1" s="467"/>
      <c r="K1" s="467"/>
      <c r="L1" s="277"/>
    </row>
    <row r="2" spans="2:17" s="1" customFormat="1" x14ac:dyDescent="0.3">
      <c r="B2" s="16"/>
      <c r="C2" s="16"/>
      <c r="D2" s="16"/>
      <c r="E2" s="16"/>
      <c r="F2" s="16"/>
      <c r="G2" s="16"/>
    </row>
    <row r="3" spans="2:17" s="1" customFormat="1" ht="28.5" customHeight="1" x14ac:dyDescent="0.3">
      <c r="B3" s="303" t="s">
        <v>42</v>
      </c>
      <c r="C3" s="469" t="str">
        <f>Indice!D4</f>
        <v>CH</v>
      </c>
      <c r="D3" s="469"/>
      <c r="E3" s="93"/>
      <c r="F3" s="93"/>
      <c r="P3" s="278" t="s">
        <v>32</v>
      </c>
      <c r="Q3" s="278"/>
    </row>
    <row r="4" spans="2:17" s="1" customFormat="1" ht="28.5" customHeight="1" x14ac:dyDescent="0.3">
      <c r="B4" s="303" t="s">
        <v>51</v>
      </c>
      <c r="C4" s="468"/>
      <c r="D4" s="468"/>
      <c r="E4" s="93"/>
      <c r="F4" s="93"/>
      <c r="H4" s="94"/>
      <c r="P4" s="278" t="s">
        <v>40</v>
      </c>
      <c r="Q4" s="278"/>
    </row>
    <row r="5" spans="2:17" ht="14.15" customHeight="1" thickBot="1" x14ac:dyDescent="0.35">
      <c r="P5" s="278" t="s">
        <v>39</v>
      </c>
      <c r="Q5" s="278"/>
    </row>
    <row r="6" spans="2:17" ht="45" customHeight="1" thickBot="1" x14ac:dyDescent="0.35">
      <c r="B6" s="470"/>
      <c r="C6" s="471"/>
      <c r="D6" s="471"/>
      <c r="E6" s="471"/>
      <c r="F6" s="471"/>
      <c r="G6" s="471"/>
      <c r="H6" s="471"/>
      <c r="I6" s="472"/>
      <c r="J6" s="454" t="s">
        <v>134</v>
      </c>
      <c r="K6" s="455"/>
      <c r="L6" s="67" t="s">
        <v>135</v>
      </c>
      <c r="N6" s="67" t="s">
        <v>57</v>
      </c>
      <c r="P6" s="278"/>
      <c r="Q6" s="278"/>
    </row>
    <row r="7" spans="2:17" s="16" customFormat="1" ht="87.65" customHeight="1" thickBot="1" x14ac:dyDescent="0.35">
      <c r="B7" s="164" t="s">
        <v>117</v>
      </c>
      <c r="C7" s="144" t="s">
        <v>56</v>
      </c>
      <c r="D7" s="145" t="s">
        <v>68</v>
      </c>
      <c r="E7" s="145" t="s">
        <v>118</v>
      </c>
      <c r="F7" s="145" t="s">
        <v>177</v>
      </c>
      <c r="G7" s="145" t="s">
        <v>70</v>
      </c>
      <c r="H7" s="146" t="s">
        <v>119</v>
      </c>
      <c r="I7" s="147" t="s">
        <v>120</v>
      </c>
      <c r="J7" s="305" t="s">
        <v>114</v>
      </c>
      <c r="K7" s="306" t="s">
        <v>249</v>
      </c>
      <c r="L7" s="148" t="s">
        <v>136</v>
      </c>
      <c r="N7" s="488"/>
    </row>
    <row r="8" spans="2:17" ht="60" customHeight="1" thickBot="1" x14ac:dyDescent="0.35">
      <c r="B8" s="140" t="s">
        <v>225</v>
      </c>
      <c r="C8" s="100">
        <f>SUM(D8:E8, G8)</f>
        <v>0</v>
      </c>
      <c r="D8" s="301"/>
      <c r="E8" s="300"/>
      <c r="F8" s="300"/>
      <c r="G8" s="300"/>
      <c r="H8" s="300"/>
      <c r="I8" s="299"/>
      <c r="J8" s="143" t="s">
        <v>32</v>
      </c>
      <c r="K8" s="143" t="s">
        <v>32</v>
      </c>
      <c r="L8" s="143" t="s">
        <v>32</v>
      </c>
      <c r="N8" s="489"/>
    </row>
    <row r="9" spans="2:17" ht="43.5" customHeight="1" x14ac:dyDescent="0.3">
      <c r="B9" s="236" t="s">
        <v>226</v>
      </c>
      <c r="C9" s="237">
        <f>SUM(D9:E9, G9)</f>
        <v>22707</v>
      </c>
      <c r="D9" s="239">
        <f>VLOOKUP($C$3,bestand_ias,8,FALSE)</f>
        <v>12342</v>
      </c>
      <c r="E9" s="239">
        <f>VLOOKUP($C$3,bestand_ias,9,FALSE)</f>
        <v>10365</v>
      </c>
      <c r="F9" s="239">
        <f>VLOOKUP($C$3,bestand_ias,10,FALSE)</f>
        <v>46986</v>
      </c>
      <c r="G9" s="239" t="s">
        <v>34</v>
      </c>
      <c r="H9" s="239">
        <f>VLOOKUP($C$3,bestand_ias,11,FALSE)</f>
        <v>7941</v>
      </c>
      <c r="I9" s="240">
        <f>VLOOKUP($C$3,bestand_ias,12,FALSE)</f>
        <v>14766</v>
      </c>
      <c r="J9" s="270"/>
      <c r="K9" s="272"/>
      <c r="L9" s="275"/>
      <c r="N9" s="489"/>
    </row>
    <row r="10" spans="2:17" ht="43.5" customHeight="1" thickBot="1" x14ac:dyDescent="0.35">
      <c r="B10" s="222" t="s">
        <v>227</v>
      </c>
      <c r="C10" s="223">
        <f>SUM(D10:E10, G10)</f>
        <v>26972</v>
      </c>
      <c r="D10" s="224">
        <f>VLOOKUP($C$3,bestand_alle,3,FALSE)</f>
        <v>15030</v>
      </c>
      <c r="E10" s="225">
        <f>VLOOKUP($C$3,bestand_alle,4,FALSE)</f>
        <v>11942</v>
      </c>
      <c r="F10" s="225">
        <f>VLOOKUP($C$3,bestand_alle,5,FALSE)</f>
        <v>46986</v>
      </c>
      <c r="G10" s="225" t="s">
        <v>34</v>
      </c>
      <c r="H10" s="225">
        <f>VLOOKUP($C$3,bestand_alle,6,FALSE)</f>
        <v>10445</v>
      </c>
      <c r="I10" s="226">
        <f>VLOOKUP($C$3,bestand_alle,7,FALSE)</f>
        <v>16527</v>
      </c>
      <c r="J10" s="271"/>
      <c r="K10" s="273"/>
      <c r="L10" s="276"/>
      <c r="N10" s="489"/>
    </row>
    <row r="11" spans="2:17" x14ac:dyDescent="0.3">
      <c r="B11" s="13" t="s">
        <v>216</v>
      </c>
      <c r="N11" s="489"/>
    </row>
    <row r="12" spans="2:17" x14ac:dyDescent="0.3">
      <c r="B12" s="13" t="s">
        <v>217</v>
      </c>
      <c r="J12" s="12"/>
      <c r="K12" s="12"/>
      <c r="N12" s="489"/>
    </row>
    <row r="13" spans="2:17" ht="14.5" thickBot="1" x14ac:dyDescent="0.35">
      <c r="J13" s="12"/>
      <c r="K13" s="12"/>
      <c r="N13" s="489"/>
    </row>
    <row r="14" spans="2:17" ht="45" customHeight="1" thickBot="1" x14ac:dyDescent="0.35">
      <c r="B14" s="507" t="s">
        <v>121</v>
      </c>
      <c r="C14" s="508"/>
      <c r="D14" s="508"/>
      <c r="E14" s="508"/>
      <c r="F14" s="508"/>
      <c r="G14" s="508"/>
      <c r="H14" s="508"/>
      <c r="I14" s="508"/>
      <c r="J14" s="508"/>
      <c r="K14" s="508"/>
      <c r="L14" s="509"/>
      <c r="N14" s="489"/>
    </row>
    <row r="15" spans="2:17" ht="37.5" customHeight="1" x14ac:dyDescent="0.3">
      <c r="B15" s="159" t="s">
        <v>122</v>
      </c>
      <c r="C15" s="510" t="s">
        <v>209</v>
      </c>
      <c r="D15" s="479"/>
      <c r="E15" s="479"/>
      <c r="F15" s="479"/>
      <c r="G15" s="479"/>
      <c r="H15" s="479"/>
      <c r="I15" s="479"/>
      <c r="J15" s="479"/>
      <c r="K15" s="479"/>
      <c r="L15" s="480"/>
      <c r="N15" s="489"/>
    </row>
    <row r="16" spans="2:17" ht="107.5" customHeight="1" x14ac:dyDescent="0.3">
      <c r="B16" s="160" t="s">
        <v>55</v>
      </c>
      <c r="C16" s="511" t="s">
        <v>189</v>
      </c>
      <c r="D16" s="481"/>
      <c r="E16" s="481"/>
      <c r="F16" s="481"/>
      <c r="G16" s="481"/>
      <c r="H16" s="481"/>
      <c r="I16" s="481"/>
      <c r="J16" s="481"/>
      <c r="K16" s="481"/>
      <c r="L16" s="482"/>
      <c r="N16" s="489"/>
    </row>
    <row r="17" spans="2:14" ht="50.5" customHeight="1" thickBot="1" x14ac:dyDescent="0.35">
      <c r="B17" s="161" t="s">
        <v>123</v>
      </c>
      <c r="C17" s="512" t="s">
        <v>212</v>
      </c>
      <c r="D17" s="483"/>
      <c r="E17" s="483"/>
      <c r="F17" s="483"/>
      <c r="G17" s="483"/>
      <c r="H17" s="483"/>
      <c r="I17" s="483"/>
      <c r="J17" s="483"/>
      <c r="K17" s="483"/>
      <c r="L17" s="484"/>
      <c r="N17" s="490"/>
    </row>
    <row r="18" spans="2:14" ht="36.75" customHeight="1" x14ac:dyDescent="0.3">
      <c r="L18" s="12"/>
    </row>
    <row r="21" spans="2:14" x14ac:dyDescent="0.3">
      <c r="C21" s="17"/>
    </row>
  </sheetData>
  <sheetProtection selectLockedCells="1"/>
  <protectedRanges>
    <protectedRange password="CAA2" sqref="C8:C10" name="Summe"/>
  </protectedRanges>
  <customSheetViews>
    <customSheetView guid="{168849A9-FED9-4458-942F-290616B3A25C}" scale="85" showPageBreaks="1" showGridLines="0" fitToPage="1" printArea="1">
      <selection activeCell="N4" sqref="N4:N5"/>
      <pageMargins left="0.70866141732283472" right="0.70866141732283472" top="1.1811023622047245" bottom="0.78740157480314965" header="0.31496062992125984" footer="0.31496062992125984"/>
      <pageSetup paperSize="8" scale="71" fitToHeight="0" orientation="landscape" cellComments="atEnd" r:id="rId1"/>
      <headerFooter>
        <oddHeader>&amp;LKennzahlenraster KIP / IAS&amp;R&amp;G</oddHeader>
        <oddFooter>&amp;L&amp;A: Sprachförderung Erwachsene&amp;R&amp;P</oddFooter>
      </headerFooter>
    </customSheetView>
  </customSheetViews>
  <mergeCells count="10">
    <mergeCell ref="B1:K1"/>
    <mergeCell ref="N7:N17"/>
    <mergeCell ref="B6:I6"/>
    <mergeCell ref="J6:K6"/>
    <mergeCell ref="C3:D3"/>
    <mergeCell ref="C4:D4"/>
    <mergeCell ref="B14:L14"/>
    <mergeCell ref="C15:L15"/>
    <mergeCell ref="C16:L16"/>
    <mergeCell ref="C17:L17"/>
  </mergeCells>
  <dataValidations count="4">
    <dataValidation type="whole" operator="greaterThanOrEqual" allowBlank="1" showErrorMessage="1" errorTitle="Fehler" error="Solo i numeri interi e positivi sono validi (0, 200, etc.). " promptTitle="Ganze Zahlen" prompt="Nur ganzzahlige Werte (0, 1, 200 etc.)" sqref="D8:I8" xr:uid="{00000000-0002-0000-0A00-000000000000}">
      <formula1>0</formula1>
    </dataValidation>
    <dataValidation operator="greaterThanOrEqual" allowBlank="1" showInputMessage="1" showErrorMessage="1" errorTitle="Data del rilevamento" error="Si prega di compilare" promptTitle="Data del rilevamento" prompt="Si prega di compilare" sqref="C4:D4" xr:uid="{00000000-0002-0000-0A00-000001000000}"/>
    <dataValidation allowBlank="1" sqref="C9:I10" xr:uid="{00000000-0002-0000-0A00-000002000000}"/>
    <dataValidation type="list" allowBlank="1" showInputMessage="1" showErrorMessage="1" sqref="P4:P5 L9:L10 M8:M10" xr:uid="{00000000-0002-0000-0A00-000003000000}">
      <formula1>$P$4:$P$5</formula1>
    </dataValidation>
  </dataValidations>
  <pageMargins left="0.70866141732283472" right="0.70866141732283472" top="1.1811023622047245" bottom="0.78740157480314965" header="0.31496062992125984" footer="0.31496062992125984"/>
  <pageSetup paperSize="8" scale="61" fitToHeight="0" orientation="landscape" cellComments="atEnd" r:id="rId2"/>
  <headerFooter>
    <oddHeader>&amp;LKennzahlenraster KIP / IAS&amp;R&amp;G</oddHeader>
    <oddFooter>&amp;L&amp;A: Sprachförderung Erwachsene&amp;R&amp;P</oddFooter>
  </headerFooter>
  <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4000000}">
          <x14:formula1>
            <xm:f>Dropdownlisten!$E$9:$E$11</xm:f>
          </x14:formula1>
          <xm:sqref>L8</xm:sqref>
        </x14:dataValidation>
        <x14:dataValidation type="list" operator="greaterThanOrEqual" allowBlank="1" errorTitle="Fehler" error="Gültig sind nur positive, ganze Zahlen (0, 200, etc.). Kein Text" promptTitle="Ganze Zahlen" prompt="Nur ganzzahlige Werte (0, 1, 200 etc.)" xr:uid="{00000000-0002-0000-0A00-000005000000}">
          <x14:formula1>
            <xm:f>Dropdownlisten!$E$4:$E$6</xm:f>
          </x14:formula1>
          <xm:sqref>K8</xm:sqref>
        </x14:dataValidation>
        <x14:dataValidation type="list" operator="greaterThanOrEqual" allowBlank="1" xr:uid="{00000000-0002-0000-0A00-000006000000}">
          <x14:formula1>
            <xm:f>Dropdownlisten!$C$4:$C$6</xm:f>
          </x14:formula1>
          <xm:sqref>J8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3" tint="0.59999389629810485"/>
    <pageSetUpPr fitToPage="1"/>
  </sheetPr>
  <dimension ref="B1:R70"/>
  <sheetViews>
    <sheetView showGridLines="0" zoomScale="70" zoomScaleNormal="70" workbookViewId="0">
      <selection activeCell="D8" sqref="D8"/>
    </sheetView>
  </sheetViews>
  <sheetFormatPr baseColWidth="10" defaultColWidth="11" defaultRowHeight="14" x14ac:dyDescent="0.3"/>
  <cols>
    <col min="1" max="1" width="2.08203125" style="13" customWidth="1"/>
    <col min="2" max="2" width="37.33203125" style="13" customWidth="1"/>
    <col min="3" max="8" width="15.83203125" style="13" customWidth="1"/>
    <col min="9" max="10" width="9.58203125" style="13" customWidth="1"/>
    <col min="11" max="13" width="13.58203125" style="13" customWidth="1"/>
    <col min="14" max="14" width="2.58203125" style="13" customWidth="1"/>
    <col min="15" max="15" width="63.58203125" style="13" customWidth="1"/>
    <col min="16" max="16" width="2.08203125" style="13" customWidth="1"/>
    <col min="17" max="16384" width="11" style="13"/>
  </cols>
  <sheetData>
    <row r="1" spans="2:18" s="1" customFormat="1" ht="28" x14ac:dyDescent="0.6">
      <c r="B1" s="467" t="s">
        <v>141</v>
      </c>
      <c r="C1" s="467"/>
      <c r="D1" s="467"/>
      <c r="E1" s="467"/>
      <c r="F1" s="467"/>
      <c r="G1" s="467"/>
      <c r="H1" s="467"/>
      <c r="I1" s="467"/>
      <c r="J1" s="467"/>
      <c r="K1" s="467"/>
      <c r="L1" s="467"/>
      <c r="M1" s="467"/>
    </row>
    <row r="2" spans="2:18" s="1" customFormat="1" x14ac:dyDescent="0.3">
      <c r="B2" s="16"/>
      <c r="C2" s="16"/>
      <c r="D2" s="16"/>
      <c r="E2" s="16"/>
      <c r="F2" s="16"/>
    </row>
    <row r="3" spans="2:18" s="1" customFormat="1" ht="28.5" customHeight="1" x14ac:dyDescent="0.3">
      <c r="B3" s="303" t="s">
        <v>42</v>
      </c>
      <c r="C3" s="469" t="str">
        <f>Indice!D4</f>
        <v>CH</v>
      </c>
      <c r="D3" s="469"/>
      <c r="E3" s="93"/>
    </row>
    <row r="4" spans="2:18" s="1" customFormat="1" ht="28.5" customHeight="1" x14ac:dyDescent="0.3">
      <c r="B4" s="303" t="s">
        <v>51</v>
      </c>
      <c r="C4" s="468"/>
      <c r="D4" s="468"/>
      <c r="E4" s="93"/>
      <c r="G4" s="94"/>
    </row>
    <row r="5" spans="2:18" ht="14.15" customHeight="1" thickBot="1" x14ac:dyDescent="0.35">
      <c r="O5" s="1"/>
    </row>
    <row r="6" spans="2:18" ht="45" customHeight="1" thickBot="1" x14ac:dyDescent="0.35">
      <c r="B6" s="470"/>
      <c r="C6" s="471"/>
      <c r="D6" s="471"/>
      <c r="E6" s="471"/>
      <c r="F6" s="471"/>
      <c r="G6" s="471"/>
      <c r="H6" s="472"/>
      <c r="I6" s="454" t="s">
        <v>134</v>
      </c>
      <c r="J6" s="516"/>
      <c r="K6" s="454" t="s">
        <v>142</v>
      </c>
      <c r="L6" s="516"/>
      <c r="M6" s="455"/>
      <c r="O6" s="67" t="s">
        <v>57</v>
      </c>
      <c r="P6" s="16"/>
      <c r="Q6" s="16"/>
      <c r="R6" s="16"/>
    </row>
    <row r="7" spans="2:18" s="16" customFormat="1" ht="87.75" customHeight="1" thickBot="1" x14ac:dyDescent="0.35">
      <c r="B7" s="154" t="s">
        <v>117</v>
      </c>
      <c r="C7" s="150" t="s">
        <v>56</v>
      </c>
      <c r="D7" s="151" t="s">
        <v>68</v>
      </c>
      <c r="E7" s="151" t="s">
        <v>118</v>
      </c>
      <c r="F7" s="151" t="s">
        <v>70</v>
      </c>
      <c r="G7" s="152" t="s">
        <v>119</v>
      </c>
      <c r="H7" s="153" t="s">
        <v>120</v>
      </c>
      <c r="I7" s="517" t="s">
        <v>249</v>
      </c>
      <c r="J7" s="518"/>
      <c r="K7" s="307" t="s">
        <v>143</v>
      </c>
      <c r="L7" s="308" t="s">
        <v>144</v>
      </c>
      <c r="M7" s="309" t="s">
        <v>145</v>
      </c>
      <c r="N7" s="13"/>
      <c r="O7" s="473"/>
    </row>
    <row r="8" spans="2:18" ht="60" customHeight="1" thickBot="1" x14ac:dyDescent="0.35">
      <c r="B8" s="494" t="s">
        <v>228</v>
      </c>
      <c r="C8" s="119">
        <f>SUM(D8:E8, F8)</f>
        <v>0</v>
      </c>
      <c r="D8" s="301"/>
      <c r="E8" s="300"/>
      <c r="F8" s="300"/>
      <c r="G8" s="300"/>
      <c r="H8" s="300"/>
      <c r="I8" s="519" t="s">
        <v>32</v>
      </c>
      <c r="J8" s="520"/>
      <c r="K8" s="143" t="s">
        <v>32</v>
      </c>
      <c r="L8" s="143" t="s">
        <v>32</v>
      </c>
      <c r="M8" s="143" t="s">
        <v>32</v>
      </c>
      <c r="O8" s="474"/>
      <c r="P8" s="16"/>
      <c r="Q8" s="16"/>
      <c r="R8" s="16"/>
    </row>
    <row r="9" spans="2:18" ht="30" customHeight="1" thickBot="1" x14ac:dyDescent="0.35">
      <c r="B9" s="495"/>
      <c r="C9" s="513"/>
      <c r="D9" s="514"/>
      <c r="E9" s="514"/>
      <c r="F9" s="514"/>
      <c r="G9" s="514"/>
      <c r="H9" s="515"/>
      <c r="I9" s="336"/>
      <c r="J9" s="338"/>
      <c r="K9" s="336"/>
      <c r="L9" s="337"/>
      <c r="M9" s="338"/>
      <c r="O9" s="474"/>
      <c r="P9" s="16"/>
      <c r="Q9" s="16"/>
      <c r="R9" s="16"/>
    </row>
    <row r="10" spans="2:18" ht="43.5" customHeight="1" thickBot="1" x14ac:dyDescent="0.35">
      <c r="B10" s="244" t="s">
        <v>226</v>
      </c>
      <c r="C10" s="245">
        <f>SUM(D10:E10, F10)</f>
        <v>2501</v>
      </c>
      <c r="D10" s="249">
        <f>VLOOKUP($C$3,bestand_ias,13,FALSE)</f>
        <v>1537</v>
      </c>
      <c r="E10" s="249">
        <f>VLOOKUP($C$3,bestand_ias,14,FALSE)</f>
        <v>964</v>
      </c>
      <c r="F10" s="249" t="s">
        <v>34</v>
      </c>
      <c r="G10" s="249">
        <f>VLOOKUP($C$3,bestand_ias,15,FALSE)</f>
        <v>1040</v>
      </c>
      <c r="H10" s="250">
        <f>VLOOKUP($C$3,bestand_ias,16,FALSE)</f>
        <v>1461</v>
      </c>
      <c r="I10" s="339"/>
      <c r="J10" s="341"/>
      <c r="K10" s="339"/>
      <c r="L10" s="340"/>
      <c r="M10" s="341"/>
      <c r="O10" s="474"/>
      <c r="P10" s="16"/>
      <c r="Q10" s="16"/>
      <c r="R10" s="16"/>
    </row>
    <row r="11" spans="2:18" ht="43.5" hidden="1" customHeight="1" thickBot="1" x14ac:dyDescent="0.35">
      <c r="B11" s="227" t="s">
        <v>229</v>
      </c>
      <c r="C11" s="228">
        <f>SUM(D11:E11, F11)</f>
        <v>0</v>
      </c>
      <c r="D11" s="229">
        <f>VLOOKUP($C$3,bestand_alle,8,FALSE)</f>
        <v>0</v>
      </c>
      <c r="E11" s="230">
        <f>VLOOKUP($C$3,bestand_alle,9,FALSE)</f>
        <v>0</v>
      </c>
      <c r="F11" s="230" t="s">
        <v>34</v>
      </c>
      <c r="G11" s="230">
        <f>VLOOKUP($C$3,bestand_alle,11,FALSE)</f>
        <v>0</v>
      </c>
      <c r="H11" s="231">
        <f>VLOOKUP($C$3,bestand_alle,12,FALSE)</f>
        <v>0</v>
      </c>
      <c r="I11" s="339"/>
      <c r="J11" s="341"/>
      <c r="K11" s="339"/>
      <c r="L11" s="340"/>
      <c r="M11" s="341"/>
      <c r="O11" s="474"/>
      <c r="P11" s="16"/>
      <c r="Q11" s="16"/>
      <c r="R11" s="16"/>
    </row>
    <row r="12" spans="2:18" ht="14.15" customHeight="1" x14ac:dyDescent="0.3">
      <c r="B12" s="13" t="s">
        <v>216</v>
      </c>
      <c r="C12" s="157"/>
      <c r="D12" s="157"/>
      <c r="E12" s="157"/>
      <c r="F12" s="157"/>
      <c r="G12" s="157"/>
      <c r="H12" s="157"/>
      <c r="I12" s="157"/>
      <c r="J12" s="157"/>
      <c r="K12" s="158"/>
      <c r="L12" s="158"/>
      <c r="M12" s="158"/>
      <c r="O12" s="474"/>
      <c r="P12" s="16"/>
      <c r="Q12" s="16"/>
      <c r="R12" s="16"/>
    </row>
    <row r="13" spans="2:18" ht="14.15" customHeight="1" x14ac:dyDescent="0.3">
      <c r="B13" s="13" t="s">
        <v>217</v>
      </c>
      <c r="C13" s="156"/>
      <c r="D13" s="156"/>
      <c r="E13" s="156"/>
      <c r="F13" s="156"/>
      <c r="G13" s="156"/>
      <c r="H13" s="156"/>
      <c r="I13" s="156"/>
      <c r="J13" s="156"/>
      <c r="K13" s="156"/>
      <c r="L13" s="156"/>
      <c r="M13" s="156"/>
      <c r="O13" s="474"/>
      <c r="P13" s="16"/>
      <c r="Q13" s="16"/>
      <c r="R13" s="16"/>
    </row>
    <row r="14" spans="2:18" ht="14.15" customHeight="1" thickBot="1" x14ac:dyDescent="0.35">
      <c r="C14" s="156"/>
      <c r="D14" s="156"/>
      <c r="E14" s="156"/>
      <c r="F14" s="156"/>
      <c r="G14" s="156"/>
      <c r="H14" s="156"/>
      <c r="I14" s="156"/>
      <c r="J14" s="156"/>
      <c r="K14" s="156"/>
      <c r="L14" s="156"/>
      <c r="M14" s="156"/>
      <c r="O14" s="474"/>
      <c r="P14" s="16"/>
      <c r="Q14" s="16"/>
      <c r="R14" s="16"/>
    </row>
    <row r="15" spans="2:18" ht="45" customHeight="1" thickBot="1" x14ac:dyDescent="0.35">
      <c r="B15" s="507" t="s">
        <v>121</v>
      </c>
      <c r="C15" s="508"/>
      <c r="D15" s="508"/>
      <c r="E15" s="508"/>
      <c r="F15" s="508"/>
      <c r="G15" s="508"/>
      <c r="H15" s="508"/>
      <c r="I15" s="508"/>
      <c r="J15" s="508"/>
      <c r="K15" s="508"/>
      <c r="L15" s="508"/>
      <c r="M15" s="509"/>
      <c r="N15" s="14"/>
      <c r="O15" s="474"/>
      <c r="P15" s="16"/>
      <c r="Q15" s="16"/>
      <c r="R15" s="16"/>
    </row>
    <row r="16" spans="2:18" ht="56.5" customHeight="1" x14ac:dyDescent="0.3">
      <c r="B16" s="162" t="s">
        <v>122</v>
      </c>
      <c r="C16" s="510" t="s">
        <v>230</v>
      </c>
      <c r="D16" s="479"/>
      <c r="E16" s="479"/>
      <c r="F16" s="479"/>
      <c r="G16" s="479"/>
      <c r="H16" s="479"/>
      <c r="I16" s="479"/>
      <c r="J16" s="479"/>
      <c r="K16" s="479"/>
      <c r="L16" s="479"/>
      <c r="M16" s="480"/>
      <c r="N16" s="12"/>
      <c r="O16" s="474"/>
      <c r="P16" s="16"/>
      <c r="Q16" s="16"/>
      <c r="R16" s="16"/>
    </row>
    <row r="17" spans="2:18" ht="140.25" customHeight="1" x14ac:dyDescent="0.3">
      <c r="B17" s="160" t="s">
        <v>55</v>
      </c>
      <c r="C17" s="511" t="s">
        <v>190</v>
      </c>
      <c r="D17" s="481"/>
      <c r="E17" s="481"/>
      <c r="F17" s="481"/>
      <c r="G17" s="481"/>
      <c r="H17" s="481"/>
      <c r="I17" s="481"/>
      <c r="J17" s="481"/>
      <c r="K17" s="481"/>
      <c r="L17" s="481"/>
      <c r="M17" s="482"/>
      <c r="N17" s="12"/>
      <c r="O17" s="474"/>
      <c r="P17" s="16"/>
      <c r="Q17" s="16"/>
      <c r="R17" s="16"/>
    </row>
    <row r="18" spans="2:18" ht="65.150000000000006" customHeight="1" thickBot="1" x14ac:dyDescent="0.35">
      <c r="B18" s="161" t="s">
        <v>123</v>
      </c>
      <c r="C18" s="512" t="s">
        <v>241</v>
      </c>
      <c r="D18" s="483"/>
      <c r="E18" s="483"/>
      <c r="F18" s="483"/>
      <c r="G18" s="483"/>
      <c r="H18" s="483"/>
      <c r="I18" s="483"/>
      <c r="J18" s="483"/>
      <c r="K18" s="483"/>
      <c r="L18" s="483"/>
      <c r="M18" s="484"/>
      <c r="N18" s="12"/>
      <c r="O18" s="475"/>
      <c r="P18" s="16"/>
      <c r="Q18" s="16"/>
      <c r="R18" s="16"/>
    </row>
    <row r="19" spans="2:18" ht="14.15" customHeight="1" x14ac:dyDescent="0.3">
      <c r="O19" s="1"/>
      <c r="P19" s="16"/>
      <c r="Q19" s="16"/>
      <c r="R19" s="16"/>
    </row>
    <row r="20" spans="2:18" ht="14.15" customHeight="1" x14ac:dyDescent="0.3"/>
    <row r="21" spans="2:18" ht="14.15" customHeight="1" x14ac:dyDescent="0.3"/>
    <row r="22" spans="2:18" ht="14.15" customHeight="1" x14ac:dyDescent="0.3">
      <c r="C22" s="17"/>
    </row>
    <row r="23" spans="2:18" ht="14.15" customHeight="1" x14ac:dyDescent="0.3"/>
    <row r="24" spans="2:18" ht="14.15" customHeight="1" x14ac:dyDescent="0.3"/>
    <row r="25" spans="2:18" ht="14.15" customHeight="1" x14ac:dyDescent="0.3"/>
    <row r="26" spans="2:18" ht="14.15" customHeight="1" x14ac:dyDescent="0.3"/>
    <row r="27" spans="2:18" ht="14.15" customHeight="1" x14ac:dyDescent="0.3"/>
    <row r="28" spans="2:18" ht="14.15" customHeight="1" x14ac:dyDescent="0.3"/>
    <row r="29" spans="2:18" ht="14.15" customHeight="1" x14ac:dyDescent="0.3"/>
    <row r="30" spans="2:18" ht="14.15" customHeight="1" x14ac:dyDescent="0.3"/>
    <row r="31" spans="2:18" ht="14.15" customHeight="1" x14ac:dyDescent="0.3"/>
    <row r="32" spans="2:18"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row r="48" ht="14.15" customHeight="1" x14ac:dyDescent="0.3"/>
    <row r="49" ht="14.15" customHeight="1" x14ac:dyDescent="0.3"/>
    <row r="50" ht="14.15" customHeight="1" x14ac:dyDescent="0.3"/>
    <row r="51" ht="14.15" customHeight="1" x14ac:dyDescent="0.3"/>
    <row r="52" ht="14.15" customHeight="1" x14ac:dyDescent="0.3"/>
    <row r="53" ht="14.15" customHeight="1" x14ac:dyDescent="0.3"/>
    <row r="54" ht="14.15" customHeight="1" x14ac:dyDescent="0.3"/>
    <row r="55" ht="14.15" customHeight="1" x14ac:dyDescent="0.3"/>
    <row r="56" ht="14.15" customHeight="1" x14ac:dyDescent="0.3"/>
    <row r="57" ht="14.15" customHeight="1" x14ac:dyDescent="0.3"/>
    <row r="58" ht="14.15" customHeight="1" x14ac:dyDescent="0.3"/>
    <row r="59" ht="14.15" customHeight="1" x14ac:dyDescent="0.3"/>
    <row r="60" ht="14.15" customHeight="1" x14ac:dyDescent="0.3"/>
    <row r="61" ht="14.15" customHeight="1" x14ac:dyDescent="0.3"/>
    <row r="62" ht="14.15" customHeight="1" x14ac:dyDescent="0.3"/>
    <row r="63" ht="14.15" customHeight="1" x14ac:dyDescent="0.3"/>
    <row r="64" ht="14.15" customHeight="1" x14ac:dyDescent="0.3"/>
    <row r="65" ht="14.15" customHeight="1" x14ac:dyDescent="0.3"/>
    <row r="66" ht="14.15" customHeight="1" x14ac:dyDescent="0.3"/>
    <row r="67" ht="14.15" customHeight="1" x14ac:dyDescent="0.3"/>
    <row r="68" ht="14.15" customHeight="1" x14ac:dyDescent="0.3"/>
    <row r="69" ht="14.15" customHeight="1" x14ac:dyDescent="0.3"/>
    <row r="70" ht="14.15" customHeight="1" x14ac:dyDescent="0.3"/>
  </sheetData>
  <sheetProtection algorithmName="SHA-512" hashValue="ymsUV+F5RcONeowOS5h2Cy5lS1ZawzQrisbQNeg4KjgiASd+nxrYB5xlBwjE4RzuTOtu5hjTrg7ZE5E79K3v5g==" saltValue="mCZWgEVOtNeHlCroy/IMKw==" spinCount="100000" sheet="1" selectLockedCells="1"/>
  <protectedRanges>
    <protectedRange password="CAA2" sqref="C11:C12 C8:C9" name="Summe"/>
    <protectedRange password="CAA2" sqref="C10" name="Summe_1"/>
  </protectedRanges>
  <customSheetViews>
    <customSheetView guid="{168849A9-FED9-4458-942F-290616B3A25C}" showPageBreaks="1" showGridLines="0" fitToPage="1" printArea="1" topLeftCell="A7">
      <selection activeCell="C17" sqref="C17:M17"/>
      <pageMargins left="0.70866141732283472" right="0.70866141732283472" top="1.1811023622047245" bottom="0.78740157480314965" header="0.31496062992125984" footer="0.31496062992125984"/>
      <pageSetup paperSize="8" scale="63" fitToHeight="0" orientation="landscape" cellComments="atEnd" r:id="rId1"/>
      <headerFooter>
        <oddHeader>&amp;LKennzahlenraster KIP / IAS&amp;R&amp;G</oddHeader>
        <oddFooter>&amp;L&amp;A: Sprachniveau Erwachsene&amp;R&amp;P</oddFooter>
      </headerFooter>
    </customSheetView>
  </customSheetViews>
  <mergeCells count="15">
    <mergeCell ref="O7:O18"/>
    <mergeCell ref="B15:M15"/>
    <mergeCell ref="C16:M16"/>
    <mergeCell ref="C17:M17"/>
    <mergeCell ref="B1:M1"/>
    <mergeCell ref="C3:D3"/>
    <mergeCell ref="C4:D4"/>
    <mergeCell ref="C18:M18"/>
    <mergeCell ref="C9:H9"/>
    <mergeCell ref="B6:H6"/>
    <mergeCell ref="I6:J6"/>
    <mergeCell ref="K6:M6"/>
    <mergeCell ref="B8:B9"/>
    <mergeCell ref="I7:J7"/>
    <mergeCell ref="I8:J8"/>
  </mergeCells>
  <dataValidations count="5">
    <dataValidation allowBlank="1" showInputMessage="1" showErrorMessage="1" errorTitle="Data del rilevamento" error="Si prega di compilare" promptTitle="Data del rilevamento" prompt="Si prega di compilare" sqref="C4:D4" xr:uid="{00000000-0002-0000-0B00-000001000000}"/>
    <dataValidation allowBlank="1" sqref="C10:H11 I7" xr:uid="{00000000-0002-0000-0B00-000002000000}"/>
    <dataValidation allowBlank="1" showInputMessage="1" showErrorMessage="1" errorTitle="Data del rilevamento" promptTitle="Data del rilevamento" sqref="K9:M11" xr:uid="{00000000-0002-0000-0B00-000005000000}"/>
    <dataValidation type="whole" operator="greaterThanOrEqual" allowBlank="1" showErrorMessage="1" errorTitle="Fehler" error="Gültig sind nur positive, ganze Zahlen (0, 200, etc.). Kein Text" promptTitle="Ganze Zahlen" prompt="Nur ganzzahlige Werte (0, 1, 200 etc.)" sqref="D12:J12" xr:uid="{00000000-0002-0000-0B00-000000000000}">
      <formula1>0</formula1>
    </dataValidation>
    <dataValidation type="whole" operator="greaterThanOrEqual" allowBlank="1" showErrorMessage="1" errorTitle="Fehler" error="Solo i numeri interi e positivi sono validi (0, 200, etc.). " promptTitle="Ganze Zahlen" prompt="Nur ganzzahlige Werte (0, 1, 200 etc.)" sqref="D8:H8" xr:uid="{148181E4-9C78-4E05-B9C3-1D5439064905}">
      <formula1>0</formula1>
    </dataValidation>
  </dataValidations>
  <pageMargins left="0.70866141732283472" right="0.70866141732283472" top="1.1811023622047245" bottom="0.78740157480314965" header="0.31496062992125984" footer="0.31496062992125984"/>
  <pageSetup paperSize="8" scale="59" fitToHeight="0" orientation="landscape" cellComments="atEnd" r:id="rId2"/>
  <headerFooter>
    <oddFooter>&amp;L&amp;A: Sprachniveau Erwachsene&amp;R&amp;P</oddFooter>
  </headerFooter>
  <extLst>
    <ext xmlns:x14="http://schemas.microsoft.com/office/spreadsheetml/2009/9/main" uri="{CCE6A557-97BC-4b89-ADB6-D9C93CAAB3DF}">
      <x14:dataValidations xmlns:xm="http://schemas.microsoft.com/office/excel/2006/main" count="2">
        <x14:dataValidation type="list" allowBlank="1" xr:uid="{00000000-0002-0000-0B00-000006000000}">
          <x14:formula1>
            <xm:f>Dropdownlisten!$C$9:$C$11</xm:f>
          </x14:formula1>
          <xm:sqref>K8:M8</xm:sqref>
        </x14:dataValidation>
        <x14:dataValidation type="list" xr:uid="{00000000-0002-0000-0B00-000008000000}">
          <x14:formula1>
            <xm:f>Dropdownlisten!$E$4:$E$6</xm:f>
          </x14:formula1>
          <xm:sqref>I8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3" tint="0.59999389629810485"/>
    <pageSetUpPr fitToPage="1"/>
  </sheetPr>
  <dimension ref="B1:M32"/>
  <sheetViews>
    <sheetView showGridLines="0" zoomScale="70" zoomScaleNormal="70" workbookViewId="0">
      <selection activeCell="G8" sqref="G8"/>
    </sheetView>
  </sheetViews>
  <sheetFormatPr baseColWidth="10" defaultColWidth="11" defaultRowHeight="14" x14ac:dyDescent="0.3"/>
  <cols>
    <col min="1" max="1" width="2.08203125" style="13" customWidth="1"/>
    <col min="2" max="2" width="37.33203125" style="13" customWidth="1"/>
    <col min="3" max="9" width="15.83203125" style="13" customWidth="1"/>
    <col min="10" max="10" width="9.58203125" style="13" customWidth="1"/>
    <col min="11" max="11" width="11.58203125" style="13" customWidth="1"/>
    <col min="12" max="12" width="2.5" style="13" customWidth="1"/>
    <col min="13" max="13" width="63.58203125" style="13" customWidth="1"/>
    <col min="14" max="14" width="2.08203125" style="13" customWidth="1"/>
    <col min="15" max="16384" width="11" style="13"/>
  </cols>
  <sheetData>
    <row r="1" spans="2:13" s="1" customFormat="1" ht="28" x14ac:dyDescent="0.6">
      <c r="B1" s="467" t="s">
        <v>146</v>
      </c>
      <c r="C1" s="467"/>
      <c r="D1" s="467"/>
      <c r="E1" s="467"/>
      <c r="F1" s="467"/>
      <c r="G1" s="467"/>
      <c r="H1" s="467"/>
      <c r="I1" s="467"/>
      <c r="J1" s="467"/>
      <c r="K1" s="467"/>
    </row>
    <row r="2" spans="2:13" s="1" customFormat="1" x14ac:dyDescent="0.3">
      <c r="B2" s="16"/>
      <c r="C2" s="16"/>
      <c r="D2" s="16"/>
      <c r="E2" s="16"/>
      <c r="F2" s="16"/>
      <c r="G2" s="16"/>
    </row>
    <row r="3" spans="2:13" s="1" customFormat="1" ht="28.5" customHeight="1" x14ac:dyDescent="0.3">
      <c r="B3" s="303" t="s">
        <v>42</v>
      </c>
      <c r="C3" s="469" t="str">
        <f>Indice!D4</f>
        <v>CH</v>
      </c>
      <c r="D3" s="469"/>
      <c r="E3" s="93"/>
      <c r="F3" s="93"/>
    </row>
    <row r="4" spans="2:13" s="1" customFormat="1" ht="28.5" customHeight="1" x14ac:dyDescent="0.3">
      <c r="B4" s="303" t="s">
        <v>51</v>
      </c>
      <c r="C4" s="468"/>
      <c r="D4" s="468"/>
      <c r="E4" s="93"/>
      <c r="F4" s="93"/>
      <c r="H4" s="94"/>
    </row>
    <row r="5" spans="2:13" ht="14.15" customHeight="1" thickBot="1" x14ac:dyDescent="0.35"/>
    <row r="6" spans="2:13" ht="45" customHeight="1" thickBot="1" x14ac:dyDescent="0.35">
      <c r="B6" s="470"/>
      <c r="C6" s="471"/>
      <c r="D6" s="471"/>
      <c r="E6" s="471"/>
      <c r="F6" s="471"/>
      <c r="G6" s="471"/>
      <c r="H6" s="471"/>
      <c r="I6" s="472"/>
      <c r="J6" s="454" t="s">
        <v>134</v>
      </c>
      <c r="K6" s="455"/>
      <c r="M6" s="67" t="s">
        <v>57</v>
      </c>
    </row>
    <row r="7" spans="2:13" s="16" customFormat="1" ht="66" customHeight="1" thickBot="1" x14ac:dyDescent="0.35">
      <c r="B7" s="154" t="s">
        <v>117</v>
      </c>
      <c r="C7" s="150" t="s">
        <v>56</v>
      </c>
      <c r="D7" s="151" t="s">
        <v>68</v>
      </c>
      <c r="E7" s="151" t="s">
        <v>118</v>
      </c>
      <c r="F7" s="151" t="s">
        <v>177</v>
      </c>
      <c r="G7" s="151" t="s">
        <v>70</v>
      </c>
      <c r="H7" s="152" t="s">
        <v>119</v>
      </c>
      <c r="I7" s="153" t="s">
        <v>120</v>
      </c>
      <c r="J7" s="527" t="s">
        <v>249</v>
      </c>
      <c r="K7" s="528"/>
      <c r="L7" s="13"/>
      <c r="M7" s="521"/>
    </row>
    <row r="8" spans="2:13" ht="60" customHeight="1" thickBot="1" x14ac:dyDescent="0.35">
      <c r="B8" s="494" t="s">
        <v>233</v>
      </c>
      <c r="C8" s="110">
        <f t="shared" ref="C8:C10" si="0">SUM(D8:E8, G8)</f>
        <v>0</v>
      </c>
      <c r="D8" s="128"/>
      <c r="E8" s="120"/>
      <c r="F8" s="120"/>
      <c r="G8" s="120"/>
      <c r="H8" s="120"/>
      <c r="I8" s="121"/>
      <c r="J8" s="519" t="s">
        <v>32</v>
      </c>
      <c r="K8" s="520"/>
      <c r="M8" s="522"/>
    </row>
    <row r="9" spans="2:13" ht="30" customHeight="1" thickBot="1" x14ac:dyDescent="0.35">
      <c r="B9" s="506"/>
      <c r="C9" s="524"/>
      <c r="D9" s="525"/>
      <c r="E9" s="525"/>
      <c r="F9" s="525"/>
      <c r="G9" s="525"/>
      <c r="H9" s="525"/>
      <c r="I9" s="526"/>
      <c r="J9" s="351"/>
      <c r="K9" s="352"/>
      <c r="M9" s="522"/>
    </row>
    <row r="10" spans="2:13" ht="43.5" customHeight="1" thickBot="1" x14ac:dyDescent="0.35">
      <c r="B10" s="344" t="s">
        <v>226</v>
      </c>
      <c r="C10" s="345">
        <f t="shared" si="0"/>
        <v>7527</v>
      </c>
      <c r="D10" s="346">
        <f>VLOOKUP($C$3,bestand_ias,17,FALSE)</f>
        <v>5885</v>
      </c>
      <c r="E10" s="346">
        <f>VLOOKUP($C$3,bestand_ias,18,FALSE)</f>
        <v>1642</v>
      </c>
      <c r="F10" s="346">
        <f>VLOOKUP($C$3,bestand_ias,19,FALSE)</f>
        <v>2682</v>
      </c>
      <c r="G10" s="346" t="s">
        <v>34</v>
      </c>
      <c r="H10" s="346">
        <f>VLOOKUP($C$3,bestand_ias,20,FALSE)</f>
        <v>3673</v>
      </c>
      <c r="I10" s="347">
        <f>VLOOKUP($C$3,bestand_ias,21,FALSE)</f>
        <v>3854</v>
      </c>
      <c r="J10" s="353"/>
      <c r="K10" s="354"/>
      <c r="M10" s="522"/>
    </row>
    <row r="11" spans="2:13" ht="43.5" hidden="1" customHeight="1" thickBot="1" x14ac:dyDescent="0.35">
      <c r="B11" s="227" t="s">
        <v>227</v>
      </c>
      <c r="C11" s="228">
        <f>SUM(D11:E11, G11)</f>
        <v>0</v>
      </c>
      <c r="D11" s="229">
        <f>VLOOKUP($C$3,bestand_alle,13,FALSE)</f>
        <v>0</v>
      </c>
      <c r="E11" s="230">
        <f>VLOOKUP($C$3,bestand_alle,14,FALSE)</f>
        <v>0</v>
      </c>
      <c r="F11" s="230">
        <f>VLOOKUP($C$3,bestand_alle,15,FALSE)</f>
        <v>0</v>
      </c>
      <c r="G11" s="230" t="s">
        <v>34</v>
      </c>
      <c r="H11" s="230">
        <f>VLOOKUP($C$3,bestand_alle,16,FALSE)</f>
        <v>0</v>
      </c>
      <c r="I11" s="231">
        <f>VLOOKUP($C$3,bestand_alle,17,FALSE)</f>
        <v>0</v>
      </c>
      <c r="J11" s="342"/>
      <c r="K11" s="343"/>
      <c r="M11" s="522"/>
    </row>
    <row r="12" spans="2:13" ht="14.15" customHeight="1" x14ac:dyDescent="0.3">
      <c r="B12" s="13" t="s">
        <v>216</v>
      </c>
      <c r="M12" s="522"/>
    </row>
    <row r="13" spans="2:13" ht="14.15" customHeight="1" x14ac:dyDescent="0.3">
      <c r="B13" s="13" t="s">
        <v>217</v>
      </c>
      <c r="J13" s="12"/>
      <c r="K13" s="12"/>
      <c r="M13" s="522"/>
    </row>
    <row r="14" spans="2:13" ht="14.15" customHeight="1" thickBot="1" x14ac:dyDescent="0.35">
      <c r="J14" s="12"/>
      <c r="K14" s="12"/>
      <c r="M14" s="522"/>
    </row>
    <row r="15" spans="2:13" ht="45" customHeight="1" thickBot="1" x14ac:dyDescent="0.35">
      <c r="B15" s="476" t="s">
        <v>121</v>
      </c>
      <c r="C15" s="477"/>
      <c r="D15" s="477"/>
      <c r="E15" s="477"/>
      <c r="F15" s="477"/>
      <c r="G15" s="477"/>
      <c r="H15" s="477"/>
      <c r="I15" s="477"/>
      <c r="J15" s="477"/>
      <c r="K15" s="478"/>
      <c r="L15" s="14"/>
      <c r="M15" s="522"/>
    </row>
    <row r="16" spans="2:13" ht="54.65" customHeight="1" x14ac:dyDescent="0.3">
      <c r="B16" s="159" t="s">
        <v>122</v>
      </c>
      <c r="C16" s="510" t="s">
        <v>231</v>
      </c>
      <c r="D16" s="479"/>
      <c r="E16" s="479"/>
      <c r="F16" s="479"/>
      <c r="G16" s="479"/>
      <c r="H16" s="479"/>
      <c r="I16" s="479"/>
      <c r="J16" s="479"/>
      <c r="K16" s="480"/>
      <c r="L16" s="12"/>
      <c r="M16" s="522"/>
    </row>
    <row r="17" spans="2:13" ht="52" customHeight="1" x14ac:dyDescent="0.3">
      <c r="B17" s="160" t="s">
        <v>55</v>
      </c>
      <c r="C17" s="511" t="s">
        <v>147</v>
      </c>
      <c r="D17" s="481"/>
      <c r="E17" s="481"/>
      <c r="F17" s="481"/>
      <c r="G17" s="481"/>
      <c r="H17" s="481"/>
      <c r="I17" s="481"/>
      <c r="J17" s="481"/>
      <c r="K17" s="482"/>
      <c r="L17" s="12"/>
      <c r="M17" s="522"/>
    </row>
    <row r="18" spans="2:13" ht="50.15" customHeight="1" thickBot="1" x14ac:dyDescent="0.35">
      <c r="B18" s="161" t="s">
        <v>123</v>
      </c>
      <c r="C18" s="512" t="s">
        <v>232</v>
      </c>
      <c r="D18" s="483"/>
      <c r="E18" s="483"/>
      <c r="F18" s="483"/>
      <c r="G18" s="483"/>
      <c r="H18" s="483"/>
      <c r="I18" s="483"/>
      <c r="J18" s="483"/>
      <c r="K18" s="484"/>
      <c r="L18" s="12"/>
      <c r="M18" s="523"/>
    </row>
    <row r="19" spans="2:13" ht="14.15" customHeight="1" x14ac:dyDescent="0.3"/>
    <row r="20" spans="2:13" ht="14.15" customHeight="1" x14ac:dyDescent="0.3"/>
    <row r="21" spans="2:13" ht="14.15" customHeight="1" x14ac:dyDescent="0.3"/>
    <row r="22" spans="2:13" ht="14.15" customHeight="1" x14ac:dyDescent="0.3">
      <c r="C22" s="17"/>
    </row>
    <row r="23" spans="2:13" ht="14.15" customHeight="1" x14ac:dyDescent="0.3"/>
    <row r="24" spans="2:13" ht="14.15" customHeight="1" x14ac:dyDescent="0.3"/>
    <row r="25" spans="2:13" ht="14.15" customHeight="1" x14ac:dyDescent="0.3"/>
    <row r="26" spans="2:13" ht="14.15" customHeight="1" x14ac:dyDescent="0.3"/>
    <row r="27" spans="2:13" ht="14.15" customHeight="1" x14ac:dyDescent="0.3"/>
    <row r="28" spans="2:13" ht="14.15" customHeight="1" x14ac:dyDescent="0.3"/>
    <row r="29" spans="2:13" ht="14.15" customHeight="1" x14ac:dyDescent="0.3"/>
    <row r="30" spans="2:13" ht="14.15" customHeight="1" x14ac:dyDescent="0.3"/>
    <row r="31" spans="2:13" ht="14.15" customHeight="1" x14ac:dyDescent="0.3"/>
    <row r="32" spans="2:13" ht="14.15" customHeight="1" x14ac:dyDescent="0.3"/>
  </sheetData>
  <sheetProtection algorithmName="SHA-512" hashValue="UN7qsJoUmxbhH4+0pc+QWkg5gxd+UhrHl6AoYz+OvAOe2DU5wDqvN3sfAiyRkByYK7P0BLkhZeshPe2cnGa65w==" saltValue="DRTqkr6aUGJV93TIQJ0eag==" spinCount="100000" sheet="1" selectLockedCells="1"/>
  <protectedRanges>
    <protectedRange password="CAA2" sqref="C8:C11" name="Summe"/>
  </protectedRanges>
  <customSheetViews>
    <customSheetView guid="{168849A9-FED9-4458-942F-290616B3A25C}" scale="85" showPageBreaks="1" showGridLines="0" fitToPage="1" printArea="1" topLeftCell="A13">
      <selection activeCell="C17" sqref="C17:J17"/>
      <pageMargins left="0.70866141732283472" right="0.70866141732283472" top="1.1811023622047245" bottom="0.78740157480314965" header="0.31496062992125984" footer="0.31496062992125984"/>
      <pageSetup paperSize="8" scale="75" fitToHeight="0" orientation="landscape" cellComments="atEnd" r:id="rId1"/>
      <headerFooter>
        <oddHeader>&amp;LKennzahlenraster KIP / IAS&amp;R&amp;G</oddHeader>
        <oddFooter>&amp;L&amp;A: Sprachförderung Vorschulkinder&amp;R&amp;P</oddFooter>
      </headerFooter>
    </customSheetView>
  </customSheetViews>
  <mergeCells count="14">
    <mergeCell ref="B1:K1"/>
    <mergeCell ref="J6:K6"/>
    <mergeCell ref="M7:M18"/>
    <mergeCell ref="C3:D3"/>
    <mergeCell ref="C4:D4"/>
    <mergeCell ref="B8:B9"/>
    <mergeCell ref="B6:I6"/>
    <mergeCell ref="C17:K17"/>
    <mergeCell ref="C18:K18"/>
    <mergeCell ref="C9:I9"/>
    <mergeCell ref="B15:K15"/>
    <mergeCell ref="C16:K16"/>
    <mergeCell ref="J8:K8"/>
    <mergeCell ref="J7:K7"/>
  </mergeCells>
  <dataValidations count="5">
    <dataValidation type="whole" operator="greaterThanOrEqual" allowBlank="1" showErrorMessage="1" errorTitle="Fehler" error="Solo i numeri interi e positivi sono validi (0, 200, etc.). " promptTitle="Ganze Zahlen" prompt="Nur ganzzahlige Werte (0, 1, 200 etc.)" sqref="D8:I8" xr:uid="{00000000-0002-0000-0C00-000000000000}">
      <formula1>0</formula1>
    </dataValidation>
    <dataValidation type="date" allowBlank="1" showInputMessage="1" showErrorMessage="1" errorTitle="Data del rilevamento" error="Si prega di compilare" promptTitle="Data del rilevamento" prompt="Si prega di compilare" sqref="C4:D4" xr:uid="{00000000-0002-0000-0C00-000001000000}">
      <formula1>44927</formula1>
      <formula2>45291</formula2>
    </dataValidation>
    <dataValidation operator="greaterThanOrEqual" allowBlank="1" sqref="J7" xr:uid="{00000000-0002-0000-0C00-000002000000}"/>
    <dataValidation operator="greaterThanOrEqual" sqref="J9" xr:uid="{00000000-0002-0000-0C00-000003000000}"/>
    <dataValidation allowBlank="1" sqref="C10:I11" xr:uid="{00000000-0002-0000-0C00-000004000000}"/>
  </dataValidations>
  <pageMargins left="0.70866141732283472" right="0.70866141732283472" top="1.1811023622047245" bottom="0.78740157480314965" header="0.31496062992125984" footer="0.31496062992125984"/>
  <pageSetup paperSize="8" scale="77" fitToHeight="0" orientation="landscape" cellComments="atEnd" r:id="rId2"/>
  <headerFooter>
    <oddHeader>&amp;LKennzahlenraster KIP / IAS&amp;R&amp;G</oddHeader>
    <oddFooter>&amp;L&amp;A: Sprachförderung Vorschulkinder&amp;R&amp;P</oddFooter>
  </headerFooter>
  <legacyDrawingHF r:id="rId3"/>
  <extLst>
    <ext xmlns:x14="http://schemas.microsoft.com/office/spreadsheetml/2009/9/main" uri="{CCE6A557-97BC-4b89-ADB6-D9C93CAAB3DF}">
      <x14:dataValidations xmlns:xm="http://schemas.microsoft.com/office/excel/2006/main" count="1">
        <x14:dataValidation type="list" operator="greaterThanOrEqual" xr:uid="{00000000-0002-0000-0C00-000005000000}">
          <x14:formula1>
            <xm:f>Dropdownlisten!$C$4:$C$6</xm:f>
          </x14:formula1>
          <xm:sqref>J8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theme="3" tint="0.59999389629810485"/>
    <pageSetUpPr fitToPage="1"/>
  </sheetPr>
  <dimension ref="B1:N47"/>
  <sheetViews>
    <sheetView showGridLines="0" zoomScale="70" zoomScaleNormal="70" workbookViewId="0">
      <selection activeCell="C4" sqref="C4:D4"/>
    </sheetView>
  </sheetViews>
  <sheetFormatPr baseColWidth="10" defaultColWidth="11" defaultRowHeight="14" x14ac:dyDescent="0.3"/>
  <cols>
    <col min="1" max="1" width="2.08203125" style="13" customWidth="1"/>
    <col min="2" max="2" width="37.33203125" style="13" customWidth="1"/>
    <col min="3" max="11" width="15.83203125" style="13" customWidth="1"/>
    <col min="12" max="12" width="20.25" style="13" hidden="1" customWidth="1"/>
    <col min="13" max="13" width="2.58203125" style="13" customWidth="1"/>
    <col min="14" max="14" width="63.58203125" style="13" customWidth="1"/>
    <col min="15" max="16384" width="11" style="13"/>
  </cols>
  <sheetData>
    <row r="1" spans="2:14" s="1" customFormat="1" ht="28" x14ac:dyDescent="0.6">
      <c r="B1" s="467" t="s">
        <v>148</v>
      </c>
      <c r="C1" s="467"/>
      <c r="D1" s="467"/>
      <c r="E1" s="467"/>
      <c r="F1" s="467"/>
      <c r="G1" s="467"/>
      <c r="H1" s="467"/>
      <c r="I1" s="467"/>
      <c r="J1" s="467"/>
      <c r="K1" s="467"/>
      <c r="L1" s="269"/>
      <c r="M1" s="13"/>
      <c r="N1" s="13"/>
    </row>
    <row r="2" spans="2:14" s="1" customFormat="1" x14ac:dyDescent="0.3">
      <c r="B2" s="16"/>
      <c r="C2" s="16"/>
      <c r="D2" s="16"/>
      <c r="E2" s="16"/>
      <c r="F2" s="16"/>
      <c r="G2" s="16"/>
      <c r="M2" s="13"/>
    </row>
    <row r="3" spans="2:14" s="1" customFormat="1" ht="28.5" customHeight="1" x14ac:dyDescent="0.3">
      <c r="B3" s="303" t="s">
        <v>42</v>
      </c>
      <c r="C3" s="469" t="str">
        <f>Indice!D4</f>
        <v>CH</v>
      </c>
      <c r="D3" s="469"/>
      <c r="E3" s="93"/>
      <c r="F3" s="93"/>
      <c r="M3" s="13"/>
    </row>
    <row r="4" spans="2:14" s="1" customFormat="1" ht="28.5" customHeight="1" x14ac:dyDescent="0.3">
      <c r="B4" s="303" t="s">
        <v>51</v>
      </c>
      <c r="C4" s="468"/>
      <c r="D4" s="468"/>
      <c r="E4" s="93"/>
      <c r="F4" s="93"/>
      <c r="H4" s="94"/>
      <c r="M4" s="13"/>
    </row>
    <row r="5" spans="2:14" ht="14.15" customHeight="1" thickBot="1" x14ac:dyDescent="0.35"/>
    <row r="6" spans="2:14" ht="45" customHeight="1" thickBot="1" x14ac:dyDescent="0.35">
      <c r="B6" s="470"/>
      <c r="C6" s="471"/>
      <c r="D6" s="471"/>
      <c r="E6" s="471"/>
      <c r="F6" s="471"/>
      <c r="G6" s="471"/>
      <c r="H6" s="471"/>
      <c r="I6" s="472"/>
      <c r="J6" s="454" t="s">
        <v>134</v>
      </c>
      <c r="K6" s="455"/>
      <c r="L6" s="67" t="s">
        <v>135</v>
      </c>
      <c r="M6" s="279"/>
      <c r="N6" s="67" t="s">
        <v>57</v>
      </c>
    </row>
    <row r="7" spans="2:14" s="16" customFormat="1" ht="73.5" customHeight="1" thickBot="1" x14ac:dyDescent="0.35">
      <c r="B7" s="154" t="s">
        <v>117</v>
      </c>
      <c r="C7" s="150" t="s">
        <v>56</v>
      </c>
      <c r="D7" s="151" t="s">
        <v>68</v>
      </c>
      <c r="E7" s="151" t="s">
        <v>118</v>
      </c>
      <c r="F7" s="151" t="s">
        <v>177</v>
      </c>
      <c r="G7" s="151" t="s">
        <v>70</v>
      </c>
      <c r="H7" s="152" t="s">
        <v>119</v>
      </c>
      <c r="I7" s="163" t="s">
        <v>120</v>
      </c>
      <c r="J7" s="310" t="s">
        <v>114</v>
      </c>
      <c r="K7" s="310" t="s">
        <v>249</v>
      </c>
      <c r="L7" s="148" t="s">
        <v>136</v>
      </c>
      <c r="M7" s="355"/>
      <c r="N7" s="473"/>
    </row>
    <row r="8" spans="2:14" ht="58.5" customHeight="1" thickBot="1" x14ac:dyDescent="0.35">
      <c r="B8" s="297" t="s">
        <v>238</v>
      </c>
      <c r="C8" s="119">
        <f>SUM(D8:E8, G8)</f>
        <v>0</v>
      </c>
      <c r="D8" s="128"/>
      <c r="E8" s="120"/>
      <c r="F8" s="120"/>
      <c r="G8" s="120"/>
      <c r="H8" s="120"/>
      <c r="I8" s="129"/>
      <c r="J8" s="131" t="s">
        <v>32</v>
      </c>
      <c r="K8" s="131" t="s">
        <v>32</v>
      </c>
      <c r="L8" s="131" t="s">
        <v>32</v>
      </c>
      <c r="M8" s="356"/>
      <c r="N8" s="474"/>
    </row>
    <row r="9" spans="2:14" ht="43.5" customHeight="1" x14ac:dyDescent="0.3">
      <c r="B9" s="241" t="s">
        <v>226</v>
      </c>
      <c r="C9" s="237">
        <f t="shared" ref="C9:C10" si="0">SUM(D9:E9, G9)</f>
        <v>8919</v>
      </c>
      <c r="D9" s="238">
        <f>VLOOKUP($C$3,bestand_ias,22,FALSE)</f>
        <v>2171</v>
      </c>
      <c r="E9" s="238">
        <f>VLOOKUP($C$3,bestand_ias,23,FALSE)</f>
        <v>6748</v>
      </c>
      <c r="F9" s="238">
        <f>VLOOKUP($C$3,bestand_ias,24,FALSE)</f>
        <v>7176</v>
      </c>
      <c r="G9" s="239" t="s">
        <v>34</v>
      </c>
      <c r="H9" s="239">
        <f>VLOOKUP($C$3,bestand_ias,25,FALSE)</f>
        <v>1424</v>
      </c>
      <c r="I9" s="240">
        <f>VLOOKUP($C$3,bestand_ias,26,FALSE)</f>
        <v>7495</v>
      </c>
      <c r="J9" s="529"/>
      <c r="K9" s="530"/>
      <c r="L9" s="275"/>
      <c r="M9" s="280"/>
      <c r="N9" s="474"/>
    </row>
    <row r="10" spans="2:14" ht="43.5" customHeight="1" thickBot="1" x14ac:dyDescent="0.35">
      <c r="B10" s="232" t="s">
        <v>227</v>
      </c>
      <c r="C10" s="223">
        <f t="shared" si="0"/>
        <v>9710</v>
      </c>
      <c r="D10" s="224">
        <f>VLOOKUP($C$3,bestand_alle,18,FALSE)</f>
        <v>2553</v>
      </c>
      <c r="E10" s="224">
        <f>VLOOKUP($C$3,bestand_alle,19,FALSE)</f>
        <v>7157</v>
      </c>
      <c r="F10" s="224">
        <f>VLOOKUP($C$3,bestand_alle,20,FALSE)</f>
        <v>7176</v>
      </c>
      <c r="G10" s="225" t="s">
        <v>34</v>
      </c>
      <c r="H10" s="225">
        <f>VLOOKUP($C$3,bestand_alle,21,FALSE)</f>
        <v>1799</v>
      </c>
      <c r="I10" s="226">
        <f>VLOOKUP($C$3,bestand_alle,22,FALSE)</f>
        <v>7911</v>
      </c>
      <c r="J10" s="531"/>
      <c r="K10" s="532"/>
      <c r="L10" s="276"/>
      <c r="M10" s="280"/>
      <c r="N10" s="474"/>
    </row>
    <row r="11" spans="2:14" ht="14.15" customHeight="1" x14ac:dyDescent="0.3">
      <c r="B11" s="13" t="s">
        <v>216</v>
      </c>
      <c r="N11" s="474"/>
    </row>
    <row r="12" spans="2:14" ht="14.15" customHeight="1" x14ac:dyDescent="0.3">
      <c r="B12" s="13" t="s">
        <v>217</v>
      </c>
      <c r="J12" s="12"/>
      <c r="K12" s="12"/>
      <c r="L12" s="12"/>
      <c r="N12" s="474"/>
    </row>
    <row r="13" spans="2:14" ht="14.15" customHeight="1" thickBot="1" x14ac:dyDescent="0.35">
      <c r="J13" s="12"/>
      <c r="K13" s="12"/>
      <c r="L13" s="12"/>
      <c r="N13" s="474"/>
    </row>
    <row r="14" spans="2:14" ht="45" customHeight="1" thickBot="1" x14ac:dyDescent="0.35">
      <c r="B14" s="476" t="s">
        <v>121</v>
      </c>
      <c r="C14" s="477"/>
      <c r="D14" s="477"/>
      <c r="E14" s="477"/>
      <c r="F14" s="477"/>
      <c r="G14" s="477"/>
      <c r="H14" s="477"/>
      <c r="I14" s="477"/>
      <c r="J14" s="477"/>
      <c r="K14" s="477"/>
      <c r="L14" s="478"/>
      <c r="M14" s="14"/>
      <c r="N14" s="474"/>
    </row>
    <row r="15" spans="2:14" ht="35.25" customHeight="1" thickBot="1" x14ac:dyDescent="0.35">
      <c r="B15" s="162" t="s">
        <v>122</v>
      </c>
      <c r="C15" s="533" t="s">
        <v>234</v>
      </c>
      <c r="D15" s="534"/>
      <c r="E15" s="534"/>
      <c r="F15" s="534"/>
      <c r="G15" s="534"/>
      <c r="H15" s="534"/>
      <c r="I15" s="534"/>
      <c r="J15" s="534"/>
      <c r="K15" s="534"/>
      <c r="L15" s="535"/>
      <c r="M15" s="12"/>
      <c r="N15" s="474"/>
    </row>
    <row r="16" spans="2:14" ht="149.5" customHeight="1" thickBot="1" x14ac:dyDescent="0.35">
      <c r="B16" s="160" t="s">
        <v>55</v>
      </c>
      <c r="C16" s="533" t="s">
        <v>191</v>
      </c>
      <c r="D16" s="534"/>
      <c r="E16" s="534"/>
      <c r="F16" s="534"/>
      <c r="G16" s="534"/>
      <c r="H16" s="534"/>
      <c r="I16" s="534"/>
      <c r="J16" s="534"/>
      <c r="K16" s="534"/>
      <c r="L16" s="535"/>
      <c r="M16" s="12"/>
      <c r="N16" s="474"/>
    </row>
    <row r="17" spans="2:14" ht="46.5" customHeight="1" thickBot="1" x14ac:dyDescent="0.35">
      <c r="B17" s="161" t="s">
        <v>123</v>
      </c>
      <c r="C17" s="533" t="s">
        <v>235</v>
      </c>
      <c r="D17" s="534"/>
      <c r="E17" s="534"/>
      <c r="F17" s="534"/>
      <c r="G17" s="534"/>
      <c r="H17" s="534"/>
      <c r="I17" s="534"/>
      <c r="J17" s="534"/>
      <c r="K17" s="534"/>
      <c r="L17" s="535"/>
      <c r="M17" s="12"/>
      <c r="N17" s="475"/>
    </row>
    <row r="18" spans="2:14" ht="14.15" customHeight="1" x14ac:dyDescent="0.3"/>
    <row r="19" spans="2:14" ht="14.15" customHeight="1" x14ac:dyDescent="0.3"/>
    <row r="20" spans="2:14" ht="14.15" customHeight="1" x14ac:dyDescent="0.3"/>
    <row r="21" spans="2:14" ht="14.15" customHeight="1" x14ac:dyDescent="0.3">
      <c r="C21" s="17"/>
    </row>
    <row r="22" spans="2:14" ht="14.15" customHeight="1" x14ac:dyDescent="0.3"/>
    <row r="23" spans="2:14" ht="14.15" customHeight="1" x14ac:dyDescent="0.3"/>
    <row r="24" spans="2:14" ht="14.15" customHeight="1" x14ac:dyDescent="0.3"/>
    <row r="25" spans="2:14" ht="14.15" customHeight="1" x14ac:dyDescent="0.3"/>
    <row r="26" spans="2:14" ht="14.15" customHeight="1" x14ac:dyDescent="0.3"/>
    <row r="27" spans="2:14" ht="14.15" customHeight="1" x14ac:dyDescent="0.3"/>
    <row r="28" spans="2:14" ht="14.15" customHeight="1" x14ac:dyDescent="0.3"/>
    <row r="29" spans="2:14" ht="14.15" customHeight="1" x14ac:dyDescent="0.3"/>
    <row r="30" spans="2:14" ht="14.15" customHeight="1" x14ac:dyDescent="0.3"/>
    <row r="31" spans="2:14" ht="14.15" customHeight="1" x14ac:dyDescent="0.3"/>
    <row r="32" spans="2:14"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sheetData>
  <sheetProtection algorithmName="SHA-512" hashValue="zgz2jH/kc3IjhRIxyaWJgM6KsWIAJrYdNrGs/hGBfFuw97JdCC6Y5cTCgDDJDv82Hasom1w1HAbCOdzkqe8ljQ==" saltValue="pNvRIdEzTiHDiBb2S9JVhA==" spinCount="100000" sheet="1" selectLockedCells="1"/>
  <protectedRanges>
    <protectedRange password="CAA2" sqref="C8:C10" name="Summe"/>
  </protectedRanges>
  <customSheetViews>
    <customSheetView guid="{168849A9-FED9-4458-942F-290616B3A25C}" scale="70" showPageBreaks="1" showGridLines="0" fitToPage="1" printArea="1" topLeftCell="A10">
      <selection activeCell="I26" sqref="I26"/>
      <pageMargins left="0.70866141732283472" right="0.70866141732283472" top="1.1811023622047245" bottom="0.78740157480314965" header="0.31496062992125984" footer="0.31496062992125984"/>
      <pageSetup paperSize="8" scale="75" fitToHeight="0" orientation="landscape" cellComments="atEnd" r:id="rId1"/>
      <headerFooter>
        <oddHeader>&amp;LKennzahlenraster KIP / IAS&amp;R&amp;G</oddHeader>
        <oddFooter>&amp;L&amp;A: Förderung Ausbildungsfähigkeit (16-25-Jährige)&amp;R&amp;P</oddFooter>
      </headerFooter>
    </customSheetView>
  </customSheetViews>
  <mergeCells count="11">
    <mergeCell ref="N7:N17"/>
    <mergeCell ref="B14:L14"/>
    <mergeCell ref="C15:L15"/>
    <mergeCell ref="C16:L16"/>
    <mergeCell ref="C17:L17"/>
    <mergeCell ref="B1:K1"/>
    <mergeCell ref="C3:D3"/>
    <mergeCell ref="C4:D4"/>
    <mergeCell ref="J6:K6"/>
    <mergeCell ref="J9:K10"/>
    <mergeCell ref="B6:I6"/>
  </mergeCells>
  <dataValidations count="5">
    <dataValidation type="whole" operator="greaterThanOrEqual" allowBlank="1" showErrorMessage="1" errorTitle="Fehler" error="Solo i numeri interi e positivi sono validi (0, 200, etc.). " promptTitle="Ganze Zahlen" prompt="Nur ganzzahlige Werte (0, 1, 200 etc.)" sqref="D8:I8" xr:uid="{00000000-0002-0000-0D00-000000000000}">
      <formula1>0</formula1>
    </dataValidation>
    <dataValidation allowBlank="1" showInputMessage="1" showErrorMessage="1" errorTitle="Data del rilevamento" error="Si prega di compilare" promptTitle="Data del rilevamento" prompt="Si prega di compilare" sqref="C4:D4" xr:uid="{00000000-0002-0000-0D00-000001000000}"/>
    <dataValidation allowBlank="1" sqref="C9:I10" xr:uid="{00000000-0002-0000-0D00-000002000000}"/>
    <dataValidation type="list" allowBlank="1" showInputMessage="1" showErrorMessage="1" sqref="L9:L10" xr:uid="{00000000-0002-0000-0D00-000003000000}">
      <formula1>$P$4:$P$5</formula1>
    </dataValidation>
    <dataValidation operator="greaterThanOrEqual" allowBlank="1" sqref="M7 J7:K7" xr:uid="{00000000-0002-0000-0D00-000004000000}"/>
  </dataValidations>
  <pageMargins left="0.70866141732283472" right="0.70866141732283472" top="1.1811023622047245" bottom="0.78740157480314965" header="0.31496062992125984" footer="0.31496062992125984"/>
  <pageSetup paperSize="8" scale="69" fitToHeight="0" orientation="landscape" cellComments="atEnd" r:id="rId2"/>
  <headerFooter>
    <oddHeader>&amp;LKennzahlenraster KIP / IAS&amp;R&amp;G</oddHeader>
    <oddFooter>&amp;L&amp;A: Förderung Ausbildungsfähigkeit (16-25-Jährige)&amp;R&amp;P</oddFooter>
  </headerFooter>
  <legacyDrawingHF r:id="rId3"/>
  <extLst>
    <ext xmlns:x14="http://schemas.microsoft.com/office/spreadsheetml/2009/9/main" uri="{CCE6A557-97BC-4b89-ADB6-D9C93CAAB3DF}">
      <x14:dataValidations xmlns:xm="http://schemas.microsoft.com/office/excel/2006/main" count="3">
        <x14:dataValidation type="list" operator="greaterThanOrEqual" xr:uid="{00000000-0002-0000-0D00-000005000000}">
          <x14:formula1>
            <xm:f>Dropdownlisten!$C$4:$C$6</xm:f>
          </x14:formula1>
          <xm:sqref>J8</xm:sqref>
        </x14:dataValidation>
        <x14:dataValidation type="list" operator="greaterThanOrEqual" xr:uid="{00000000-0002-0000-0D00-000006000000}">
          <x14:formula1>
            <xm:f>Dropdownlisten!$E$4:$E$6</xm:f>
          </x14:formula1>
          <xm:sqref>K8 M8</xm:sqref>
        </x14:dataValidation>
        <x14:dataValidation type="list" allowBlank="1" showInputMessage="1" showErrorMessage="1" xr:uid="{00000000-0002-0000-0D00-000007000000}">
          <x14:formula1>
            <xm:f>Dropdownlisten!$E$9:$E$11</xm:f>
          </x14:formula1>
          <xm:sqref>L8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6">
    <tabColor theme="3" tint="0.59999389629810485"/>
    <pageSetUpPr fitToPage="1"/>
  </sheetPr>
  <dimension ref="B1:N39"/>
  <sheetViews>
    <sheetView showGridLines="0" zoomScale="70" zoomScaleNormal="70" workbookViewId="0">
      <selection activeCell="C4" sqref="C4:D4"/>
    </sheetView>
  </sheetViews>
  <sheetFormatPr baseColWidth="10" defaultColWidth="11" defaultRowHeight="14" x14ac:dyDescent="0.3"/>
  <cols>
    <col min="1" max="1" width="2.08203125" style="13" customWidth="1"/>
    <col min="2" max="2" width="37.33203125" style="13" customWidth="1"/>
    <col min="3" max="11" width="15.83203125" style="13" customWidth="1"/>
    <col min="12" max="12" width="20.25" style="13" hidden="1" customWidth="1"/>
    <col min="13" max="13" width="2.5" style="13" customWidth="1"/>
    <col min="14" max="14" width="63.58203125" style="13" customWidth="1"/>
    <col min="15" max="15" width="2.08203125" style="13" customWidth="1"/>
    <col min="16" max="16384" width="11" style="13"/>
  </cols>
  <sheetData>
    <row r="1" spans="2:14" s="1" customFormat="1" ht="28" x14ac:dyDescent="0.6">
      <c r="B1" s="541" t="s">
        <v>149</v>
      </c>
      <c r="C1" s="541"/>
      <c r="D1" s="541"/>
      <c r="E1" s="541"/>
      <c r="F1" s="541"/>
      <c r="G1" s="541"/>
      <c r="H1" s="541"/>
      <c r="I1" s="541"/>
      <c r="J1" s="541"/>
      <c r="K1" s="541"/>
      <c r="L1" s="269"/>
    </row>
    <row r="2" spans="2:14" s="1" customFormat="1" x14ac:dyDescent="0.3">
      <c r="B2" s="16"/>
      <c r="C2" s="16"/>
      <c r="D2" s="16"/>
      <c r="E2" s="16"/>
      <c r="F2" s="16"/>
      <c r="G2" s="16"/>
    </row>
    <row r="3" spans="2:14" s="1" customFormat="1" ht="28.5" customHeight="1" x14ac:dyDescent="0.3">
      <c r="B3" s="311" t="s">
        <v>42</v>
      </c>
      <c r="C3" s="469" t="str">
        <f>Indice!D4</f>
        <v>CH</v>
      </c>
      <c r="D3" s="469"/>
      <c r="E3" s="93"/>
      <c r="F3" s="93"/>
    </row>
    <row r="4" spans="2:14" s="1" customFormat="1" ht="28.5" customHeight="1" x14ac:dyDescent="0.3">
      <c r="B4" s="311" t="s">
        <v>51</v>
      </c>
      <c r="C4" s="468"/>
      <c r="D4" s="468"/>
      <c r="E4" s="93"/>
      <c r="F4" s="93"/>
      <c r="H4" s="94"/>
    </row>
    <row r="5" spans="2:14" ht="14.15" customHeight="1" thickBot="1" x14ac:dyDescent="0.35"/>
    <row r="6" spans="2:14" ht="45" customHeight="1" thickBot="1" x14ac:dyDescent="0.35">
      <c r="B6" s="536"/>
      <c r="C6" s="537"/>
      <c r="D6" s="537"/>
      <c r="E6" s="537"/>
      <c r="F6" s="537"/>
      <c r="G6" s="537"/>
      <c r="H6" s="537"/>
      <c r="I6" s="538"/>
      <c r="J6" s="539" t="s">
        <v>134</v>
      </c>
      <c r="K6" s="540"/>
      <c r="L6" s="67" t="s">
        <v>135</v>
      </c>
      <c r="N6" s="67" t="s">
        <v>57</v>
      </c>
    </row>
    <row r="7" spans="2:14" s="16" customFormat="1" ht="71.5" customHeight="1" thickBot="1" x14ac:dyDescent="0.35">
      <c r="B7" s="312" t="s">
        <v>117</v>
      </c>
      <c r="C7" s="313" t="s">
        <v>56</v>
      </c>
      <c r="D7" s="314" t="s">
        <v>68</v>
      </c>
      <c r="E7" s="314" t="s">
        <v>118</v>
      </c>
      <c r="F7" s="314" t="s">
        <v>177</v>
      </c>
      <c r="G7" s="314" t="s">
        <v>70</v>
      </c>
      <c r="H7" s="315" t="s">
        <v>119</v>
      </c>
      <c r="I7" s="316" t="s">
        <v>120</v>
      </c>
      <c r="J7" s="317" t="s">
        <v>114</v>
      </c>
      <c r="K7" s="317" t="s">
        <v>249</v>
      </c>
      <c r="L7" s="148" t="s">
        <v>136</v>
      </c>
      <c r="M7" s="13"/>
      <c r="N7" s="473"/>
    </row>
    <row r="8" spans="2:14" ht="61" customHeight="1" thickBot="1" x14ac:dyDescent="0.35">
      <c r="B8" s="298" t="s">
        <v>239</v>
      </c>
      <c r="C8" s="119">
        <f>SUM(D8:E8, G8)</f>
        <v>0</v>
      </c>
      <c r="D8" s="128"/>
      <c r="E8" s="120"/>
      <c r="F8" s="120"/>
      <c r="G8" s="120"/>
      <c r="H8" s="120"/>
      <c r="I8" s="121"/>
      <c r="J8" s="131" t="s">
        <v>32</v>
      </c>
      <c r="K8" s="130" t="s">
        <v>32</v>
      </c>
      <c r="L8" s="274" t="s">
        <v>140</v>
      </c>
      <c r="N8" s="474"/>
    </row>
    <row r="9" spans="2:14" ht="43.5" customHeight="1" x14ac:dyDescent="0.3">
      <c r="B9" s="318" t="s">
        <v>226</v>
      </c>
      <c r="C9" s="237">
        <f>SUM(D9:E9, G9)</f>
        <v>13087</v>
      </c>
      <c r="D9" s="242">
        <f>VLOOKUP($C$3,bestand_ias,27,FALSE)</f>
        <v>9792</v>
      </c>
      <c r="E9" s="239">
        <f>VLOOKUP($C$3,bestand_ias,28,FALSE)</f>
        <v>3295</v>
      </c>
      <c r="F9" s="239">
        <f>VLOOKUP($C$3,bestand_ias,29,FALSE)</f>
        <v>28471</v>
      </c>
      <c r="G9" s="239" t="s">
        <v>34</v>
      </c>
      <c r="H9" s="238">
        <f>VLOOKUP($C$3,bestand_ias,30,FALSE)</f>
        <v>6174</v>
      </c>
      <c r="I9" s="243">
        <f>VLOOKUP($C$3,bestand_ias,31,FALSE)</f>
        <v>6913</v>
      </c>
      <c r="J9" s="529"/>
      <c r="K9" s="530"/>
      <c r="L9" s="275"/>
      <c r="N9" s="474"/>
    </row>
    <row r="10" spans="2:14" ht="43.5" customHeight="1" thickBot="1" x14ac:dyDescent="0.35">
      <c r="B10" s="319" t="s">
        <v>227</v>
      </c>
      <c r="C10" s="223">
        <f>SUM(D10:E10, G10)</f>
        <v>16294</v>
      </c>
      <c r="D10" s="233">
        <f>VLOOKUP($C$3,bestand_alle,23,FALSE)</f>
        <v>11976</v>
      </c>
      <c r="E10" s="224">
        <f>VLOOKUP($C$3,bestand_alle,24,FALSE)</f>
        <v>4318</v>
      </c>
      <c r="F10" s="225">
        <f>VLOOKUP($C$3,bestand_alle,25,FALSE)</f>
        <v>28471</v>
      </c>
      <c r="G10" s="225" t="s">
        <v>34</v>
      </c>
      <c r="H10" s="224">
        <f>VLOOKUP($C$3,bestand_alle,26,FALSE)</f>
        <v>8169</v>
      </c>
      <c r="I10" s="234">
        <f>VLOOKUP($C$3,bestand_alle,27,FALSE)</f>
        <v>8125</v>
      </c>
      <c r="J10" s="531"/>
      <c r="K10" s="532"/>
      <c r="L10" s="276"/>
      <c r="N10" s="474"/>
    </row>
    <row r="11" spans="2:14" x14ac:dyDescent="0.3">
      <c r="B11" s="13" t="s">
        <v>216</v>
      </c>
      <c r="M11" s="14"/>
      <c r="N11" s="474"/>
    </row>
    <row r="12" spans="2:14" x14ac:dyDescent="0.3">
      <c r="B12" s="13" t="s">
        <v>217</v>
      </c>
      <c r="M12" s="14"/>
      <c r="N12" s="474"/>
    </row>
    <row r="13" spans="2:14" ht="14.5" thickBot="1" x14ac:dyDescent="0.35">
      <c r="M13" s="14"/>
      <c r="N13" s="474"/>
    </row>
    <row r="14" spans="2:14" ht="45" customHeight="1" thickBot="1" x14ac:dyDescent="0.35">
      <c r="B14" s="476" t="s">
        <v>121</v>
      </c>
      <c r="C14" s="477"/>
      <c r="D14" s="477"/>
      <c r="E14" s="477"/>
      <c r="F14" s="477"/>
      <c r="G14" s="477"/>
      <c r="H14" s="477"/>
      <c r="I14" s="477"/>
      <c r="J14" s="477"/>
      <c r="K14" s="477"/>
      <c r="L14" s="478"/>
      <c r="M14" s="12"/>
      <c r="N14" s="474"/>
    </row>
    <row r="15" spans="2:14" ht="57" customHeight="1" x14ac:dyDescent="0.3">
      <c r="B15" s="320" t="s">
        <v>122</v>
      </c>
      <c r="C15" s="510" t="s">
        <v>236</v>
      </c>
      <c r="D15" s="479"/>
      <c r="E15" s="479"/>
      <c r="F15" s="479"/>
      <c r="G15" s="479"/>
      <c r="H15" s="479"/>
      <c r="I15" s="479"/>
      <c r="J15" s="479"/>
      <c r="K15" s="479"/>
      <c r="L15" s="480"/>
      <c r="M15" s="12"/>
      <c r="N15" s="474"/>
    </row>
    <row r="16" spans="2:14" ht="164.5" customHeight="1" x14ac:dyDescent="0.3">
      <c r="B16" s="321" t="s">
        <v>55</v>
      </c>
      <c r="C16" s="511" t="s">
        <v>192</v>
      </c>
      <c r="D16" s="481"/>
      <c r="E16" s="481"/>
      <c r="F16" s="481"/>
      <c r="G16" s="481"/>
      <c r="H16" s="481"/>
      <c r="I16" s="481"/>
      <c r="J16" s="481"/>
      <c r="K16" s="481"/>
      <c r="L16" s="482"/>
      <c r="N16" s="474"/>
    </row>
    <row r="17" spans="2:14" ht="55" customHeight="1" thickBot="1" x14ac:dyDescent="0.35">
      <c r="B17" s="322" t="s">
        <v>123</v>
      </c>
      <c r="C17" s="512" t="s">
        <v>237</v>
      </c>
      <c r="D17" s="483"/>
      <c r="E17" s="483"/>
      <c r="F17" s="483"/>
      <c r="G17" s="483"/>
      <c r="H17" s="483"/>
      <c r="I17" s="483"/>
      <c r="J17" s="483"/>
      <c r="K17" s="483"/>
      <c r="L17" s="484"/>
      <c r="N17" s="475"/>
    </row>
    <row r="18" spans="2:14" ht="14.15" customHeight="1" x14ac:dyDescent="0.3">
      <c r="J18" s="12"/>
      <c r="K18" s="12"/>
      <c r="L18" s="12"/>
    </row>
    <row r="19" spans="2:14" ht="14.15" customHeight="1" x14ac:dyDescent="0.3"/>
    <row r="20" spans="2:14" ht="14.15" customHeight="1" x14ac:dyDescent="0.3"/>
    <row r="21" spans="2:14" ht="14.15" customHeight="1" x14ac:dyDescent="0.3">
      <c r="C21" s="17"/>
    </row>
    <row r="22" spans="2:14" ht="14.15" customHeight="1" x14ac:dyDescent="0.3"/>
    <row r="23" spans="2:14" ht="14.15" customHeight="1" x14ac:dyDescent="0.3"/>
    <row r="24" spans="2:14" ht="14.15" customHeight="1" x14ac:dyDescent="0.3"/>
    <row r="25" spans="2:14" ht="14.15" customHeight="1" x14ac:dyDescent="0.3"/>
    <row r="26" spans="2:14" ht="14.15" customHeight="1" x14ac:dyDescent="0.3"/>
    <row r="27" spans="2:14" ht="14.15" customHeight="1" x14ac:dyDescent="0.3"/>
    <row r="28" spans="2:14" ht="14.15" customHeight="1" x14ac:dyDescent="0.3"/>
    <row r="29" spans="2:14" ht="14.15" customHeight="1" x14ac:dyDescent="0.3"/>
    <row r="30" spans="2:14" ht="14.15" customHeight="1" x14ac:dyDescent="0.3"/>
    <row r="31" spans="2:14" ht="14.15" customHeight="1" x14ac:dyDescent="0.3"/>
    <row r="32" spans="2:14"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sheetData>
  <sheetProtection algorithmName="SHA-512" hashValue="Rz4XDTt0Xj0Lgy7wcSNtbHrJ22ux2MKgWaRLdupM6Gq5VUGKmeQONUOeNRkgy0AtkqYLgo3wPxq923Pfp1dS4A==" saltValue="GPjZ7DD6Q2q1te6B3Q9rwg==" spinCount="100000" sheet="1" selectLockedCells="1"/>
  <protectedRanges>
    <protectedRange password="CAA2" sqref="C8" name="Summe"/>
    <protectedRange password="CAA2" sqref="C9:C10" name="Summe_4"/>
  </protectedRanges>
  <customSheetViews>
    <customSheetView guid="{168849A9-FED9-4458-942F-290616B3A25C}" scale="50" showPageBreaks="1" showGridLines="0" fitToPage="1" printArea="1" topLeftCell="A13">
      <selection activeCell="L57" sqref="L57"/>
      <pageMargins left="0.70866141732283472" right="0.70866141732283472" top="1.1811023622047245" bottom="0.78740157480314965" header="0.31496062992125984" footer="0.31496062992125984"/>
      <pageSetup paperSize="8" scale="75" fitToHeight="0" orientation="landscape" cellComments="atEnd" r:id="rId1"/>
      <headerFooter>
        <oddHeader>&amp;LKennzahlenraster KIP / IAS&amp;R&amp;G</oddHeader>
        <oddFooter>&amp;L&amp;A: Förderung Arbeitsfähigkeit (26-55-Jährige)&amp;R&amp;P</oddFooter>
      </headerFooter>
    </customSheetView>
  </customSheetViews>
  <mergeCells count="11">
    <mergeCell ref="N7:N17"/>
    <mergeCell ref="J9:K10"/>
    <mergeCell ref="B14:L14"/>
    <mergeCell ref="C15:L15"/>
    <mergeCell ref="C16:L16"/>
    <mergeCell ref="C17:L17"/>
    <mergeCell ref="C3:D3"/>
    <mergeCell ref="C4:D4"/>
    <mergeCell ref="B6:I6"/>
    <mergeCell ref="J6:K6"/>
    <mergeCell ref="B1:K1"/>
  </mergeCells>
  <dataValidations xWindow="533" yWindow="628" count="5">
    <dataValidation type="whole" operator="greaterThanOrEqual" allowBlank="1" showErrorMessage="1" errorTitle="Fehler" error="Solo i numeri interi e positivi sono validi (0, 200, etc.). " promptTitle="Ganze Zahlen" prompt="Nur ganzzahlige Werte (0, 1, 200 etc.)" sqref="D8:I8" xr:uid="{00000000-0002-0000-0E00-000000000000}">
      <formula1>0</formula1>
    </dataValidation>
    <dataValidation allowBlank="1" showInputMessage="1" showErrorMessage="1" errorTitle="Data del rilevamento" error="Si prega di compilare" promptTitle="Data del rilevamento" prompt="Si prega di compilare" sqref="C4:D4" xr:uid="{00000000-0002-0000-0E00-000001000000}"/>
    <dataValidation operator="greaterThanOrEqual" allowBlank="1" sqref="J7:K7" xr:uid="{00000000-0002-0000-0E00-000002000000}"/>
    <dataValidation allowBlank="1" sqref="C9:I10" xr:uid="{00000000-0002-0000-0E00-000003000000}"/>
    <dataValidation type="list" allowBlank="1" showInputMessage="1" showErrorMessage="1" sqref="L9:L10" xr:uid="{00000000-0002-0000-0E00-000004000000}">
      <formula1>$P$4:$P$5</formula1>
    </dataValidation>
  </dataValidations>
  <pageMargins left="0.70866141732283472" right="0.70866141732283472" top="1.1811023622047245" bottom="0.78740157480314965" header="0.31496062992125984" footer="0.31496062992125984"/>
  <pageSetup paperSize="8" scale="69" fitToHeight="0" orientation="landscape" cellComments="atEnd" r:id="rId2"/>
  <headerFooter>
    <oddFooter>&amp;L&amp;A: Förderung Arbeitsfähigkeit (26-55-Jährige)&amp;R&amp;P</oddFooter>
  </headerFooter>
  <extLst>
    <ext xmlns:x14="http://schemas.microsoft.com/office/spreadsheetml/2009/9/main" uri="{CCE6A557-97BC-4b89-ADB6-D9C93CAAB3DF}">
      <x14:dataValidations xmlns:xm="http://schemas.microsoft.com/office/excel/2006/main" xWindow="533" yWindow="628" count="3">
        <x14:dataValidation type="list" operator="greaterThanOrEqual" xr:uid="{00000000-0002-0000-0E00-000005000000}">
          <x14:formula1>
            <xm:f>Dropdownlisten!$C$4:$C$6</xm:f>
          </x14:formula1>
          <xm:sqref>J8</xm:sqref>
        </x14:dataValidation>
        <x14:dataValidation type="list" operator="greaterThanOrEqual" xr:uid="{00000000-0002-0000-0E00-000006000000}">
          <x14:formula1>
            <xm:f>Dropdownlisten!$E$4:$E$6</xm:f>
          </x14:formula1>
          <xm:sqref>K8</xm:sqref>
        </x14:dataValidation>
        <x14:dataValidation type="list" allowBlank="1" showInputMessage="1" showErrorMessage="1" xr:uid="{00000000-0002-0000-0E00-000007000000}">
          <x14:formula1>
            <xm:f>Dropdownlisten!$E$9:$E$11</xm:f>
          </x14:formula1>
          <xm:sqref>L8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tabColor theme="3" tint="0.59999389629810485"/>
    <pageSetUpPr fitToPage="1"/>
  </sheetPr>
  <dimension ref="B1:M30"/>
  <sheetViews>
    <sheetView showGridLines="0" zoomScale="70" zoomScaleNormal="70" workbookViewId="0">
      <selection activeCell="D8" sqref="D8:K8"/>
    </sheetView>
  </sheetViews>
  <sheetFormatPr baseColWidth="10" defaultColWidth="11" defaultRowHeight="14" x14ac:dyDescent="0.3"/>
  <cols>
    <col min="1" max="1" width="2.08203125" style="13" customWidth="1"/>
    <col min="2" max="2" width="37.33203125" style="13" customWidth="1"/>
    <col min="3" max="11" width="15.83203125" style="13" customWidth="1"/>
    <col min="12" max="12" width="2.5" style="13" customWidth="1"/>
    <col min="13" max="13" width="63.58203125" style="13" customWidth="1"/>
    <col min="14" max="14" width="2.08203125" style="13" customWidth="1"/>
    <col min="15" max="16384" width="11" style="13"/>
  </cols>
  <sheetData>
    <row r="1" spans="2:13" s="1" customFormat="1" ht="28" x14ac:dyDescent="0.6">
      <c r="B1" s="467" t="s">
        <v>150</v>
      </c>
      <c r="C1" s="467"/>
      <c r="D1" s="467"/>
      <c r="E1" s="467"/>
      <c r="F1" s="467"/>
      <c r="G1" s="467"/>
      <c r="H1" s="467"/>
      <c r="I1" s="467"/>
      <c r="J1" s="467"/>
      <c r="K1" s="467"/>
    </row>
    <row r="2" spans="2:13" s="1" customFormat="1" x14ac:dyDescent="0.3">
      <c r="B2" s="16"/>
      <c r="C2" s="16"/>
      <c r="D2" s="16"/>
      <c r="E2" s="16"/>
      <c r="F2" s="16"/>
      <c r="G2" s="16"/>
    </row>
    <row r="3" spans="2:13" s="1" customFormat="1" ht="28.5" customHeight="1" x14ac:dyDescent="0.3">
      <c r="B3" s="303" t="s">
        <v>42</v>
      </c>
      <c r="C3" s="469" t="str">
        <f>Indice!D4</f>
        <v>CH</v>
      </c>
      <c r="D3" s="469"/>
      <c r="E3" s="93"/>
      <c r="F3" s="93"/>
    </row>
    <row r="4" spans="2:13" s="1" customFormat="1" ht="28.5" customHeight="1" x14ac:dyDescent="0.3">
      <c r="B4" s="303" t="s">
        <v>51</v>
      </c>
      <c r="C4" s="468"/>
      <c r="D4" s="468"/>
      <c r="E4" s="93"/>
      <c r="F4" s="93"/>
      <c r="H4" s="94"/>
    </row>
    <row r="5" spans="2:13" ht="14.15" customHeight="1" thickBot="1" x14ac:dyDescent="0.35"/>
    <row r="6" spans="2:13" ht="45" customHeight="1" thickBot="1" x14ac:dyDescent="0.35">
      <c r="B6" s="470"/>
      <c r="C6" s="471"/>
      <c r="D6" s="471"/>
      <c r="E6" s="471"/>
      <c r="F6" s="471"/>
      <c r="G6" s="471"/>
      <c r="H6" s="471"/>
      <c r="I6" s="472"/>
      <c r="J6" s="454" t="s">
        <v>134</v>
      </c>
      <c r="K6" s="455"/>
      <c r="M6" s="67" t="s">
        <v>57</v>
      </c>
    </row>
    <row r="7" spans="2:13" s="16" customFormat="1" ht="63.65" customHeight="1" thickBot="1" x14ac:dyDescent="0.35">
      <c r="B7" s="154" t="s">
        <v>117</v>
      </c>
      <c r="C7" s="150" t="s">
        <v>56</v>
      </c>
      <c r="D7" s="151" t="s">
        <v>68</v>
      </c>
      <c r="E7" s="151" t="s">
        <v>118</v>
      </c>
      <c r="F7" s="151" t="s">
        <v>177</v>
      </c>
      <c r="G7" s="151" t="s">
        <v>70</v>
      </c>
      <c r="H7" s="152" t="s">
        <v>119</v>
      </c>
      <c r="I7" s="153" t="s">
        <v>120</v>
      </c>
      <c r="J7" s="310" t="s">
        <v>114</v>
      </c>
      <c r="K7" s="310" t="s">
        <v>249</v>
      </c>
      <c r="L7" s="13"/>
      <c r="M7" s="473"/>
    </row>
    <row r="8" spans="2:13" ht="75" customHeight="1" thickBot="1" x14ac:dyDescent="0.35">
      <c r="B8" s="297" t="s">
        <v>240</v>
      </c>
      <c r="C8" s="119">
        <f>SUM(D8:E8, G8)</f>
        <v>0</v>
      </c>
      <c r="D8" s="128"/>
      <c r="E8" s="120"/>
      <c r="F8" s="120"/>
      <c r="G8" s="120"/>
      <c r="H8" s="120"/>
      <c r="I8" s="121"/>
      <c r="J8" s="131" t="s">
        <v>32</v>
      </c>
      <c r="K8" s="130" t="s">
        <v>32</v>
      </c>
      <c r="M8" s="474"/>
    </row>
    <row r="9" spans="2:13" ht="43.5" customHeight="1" x14ac:dyDescent="0.3">
      <c r="B9" s="236" t="s">
        <v>226</v>
      </c>
      <c r="C9" s="237">
        <f>SUM(D9:E9, G9)</f>
        <v>25300</v>
      </c>
      <c r="D9" s="238">
        <f>VLOOKUP($C$3,bestand_ias,32,FALSE)</f>
        <v>13501</v>
      </c>
      <c r="E9" s="239">
        <f>VLOOKUP($C$3,bestand_ias,33,FALSE)</f>
        <v>11799</v>
      </c>
      <c r="F9" s="239">
        <f>VLOOKUP($C$3,bestand_ias,34,FALSE)</f>
        <v>48765</v>
      </c>
      <c r="G9" s="239" t="s">
        <v>34</v>
      </c>
      <c r="H9" s="239">
        <f>VLOOKUP($C$3,bestand_ias,35,FALSE)</f>
        <v>8645</v>
      </c>
      <c r="I9" s="240">
        <f>VLOOKUP($C$3,bestand_ias,36,FALSE)</f>
        <v>16655</v>
      </c>
      <c r="J9" s="529"/>
      <c r="K9" s="530"/>
      <c r="M9" s="474"/>
    </row>
    <row r="10" spans="2:13" ht="43.5" customHeight="1" thickBot="1" x14ac:dyDescent="0.35">
      <c r="B10" s="235" t="s">
        <v>227</v>
      </c>
      <c r="C10" s="228">
        <f>SUM(D10:E10, G10)</f>
        <v>30684</v>
      </c>
      <c r="D10" s="229">
        <f>VLOOKUP($C$3,bestand_alle,28,FALSE)</f>
        <v>17012</v>
      </c>
      <c r="E10" s="230">
        <f>VLOOKUP($C$3,bestand_alle,29,FALSE)</f>
        <v>13672</v>
      </c>
      <c r="F10" s="230">
        <f>VLOOKUP($C$3,bestand_alle,30,FALSE)</f>
        <v>48765</v>
      </c>
      <c r="G10" s="230" t="s">
        <v>34</v>
      </c>
      <c r="H10" s="230">
        <f>VLOOKUP($C$3,bestand_alle,31,FALSE)</f>
        <v>11635</v>
      </c>
      <c r="I10" s="231">
        <f>VLOOKUP($C$3,bestand_alle,32,FALSE)</f>
        <v>19049</v>
      </c>
      <c r="J10" s="531"/>
      <c r="K10" s="532"/>
      <c r="M10" s="474"/>
    </row>
    <row r="11" spans="2:13" ht="14.15" customHeight="1" thickTop="1" x14ac:dyDescent="0.3">
      <c r="B11" s="13" t="s">
        <v>216</v>
      </c>
      <c r="C11" s="171"/>
      <c r="M11" s="474"/>
    </row>
    <row r="12" spans="2:13" ht="14.15" customHeight="1" x14ac:dyDescent="0.3">
      <c r="B12" s="13" t="s">
        <v>217</v>
      </c>
      <c r="J12" s="12"/>
      <c r="K12" s="12"/>
      <c r="M12" s="474"/>
    </row>
    <row r="13" spans="2:13" ht="14.15" customHeight="1" thickBot="1" x14ac:dyDescent="0.35">
      <c r="J13" s="12"/>
      <c r="K13" s="12"/>
      <c r="M13" s="474"/>
    </row>
    <row r="14" spans="2:13" ht="45" customHeight="1" thickBot="1" x14ac:dyDescent="0.35">
      <c r="B14" s="476" t="s">
        <v>121</v>
      </c>
      <c r="C14" s="477"/>
      <c r="D14" s="477"/>
      <c r="E14" s="477"/>
      <c r="F14" s="477"/>
      <c r="G14" s="477"/>
      <c r="H14" s="477"/>
      <c r="I14" s="477"/>
      <c r="J14" s="477"/>
      <c r="K14" s="478"/>
      <c r="L14" s="14"/>
      <c r="M14" s="474"/>
    </row>
    <row r="15" spans="2:13" ht="37.5" customHeight="1" x14ac:dyDescent="0.3">
      <c r="B15" s="162" t="s">
        <v>122</v>
      </c>
      <c r="C15" s="510" t="s">
        <v>210</v>
      </c>
      <c r="D15" s="479"/>
      <c r="E15" s="479"/>
      <c r="F15" s="479"/>
      <c r="G15" s="479"/>
      <c r="H15" s="479"/>
      <c r="I15" s="479"/>
      <c r="J15" s="479"/>
      <c r="K15" s="480"/>
      <c r="L15" s="12"/>
      <c r="M15" s="474"/>
    </row>
    <row r="16" spans="2:13" ht="58" customHeight="1" x14ac:dyDescent="0.3">
      <c r="B16" s="160" t="s">
        <v>55</v>
      </c>
      <c r="C16" s="511" t="s">
        <v>151</v>
      </c>
      <c r="D16" s="481"/>
      <c r="E16" s="481"/>
      <c r="F16" s="481"/>
      <c r="G16" s="481"/>
      <c r="H16" s="481"/>
      <c r="I16" s="481"/>
      <c r="J16" s="481"/>
      <c r="K16" s="482"/>
      <c r="L16" s="12"/>
      <c r="M16" s="474"/>
    </row>
    <row r="17" spans="2:13" ht="50.15" customHeight="1" thickBot="1" x14ac:dyDescent="0.35">
      <c r="B17" s="161" t="s">
        <v>123</v>
      </c>
      <c r="C17" s="512" t="s">
        <v>213</v>
      </c>
      <c r="D17" s="483"/>
      <c r="E17" s="483"/>
      <c r="F17" s="483"/>
      <c r="G17" s="483"/>
      <c r="H17" s="483"/>
      <c r="I17" s="483"/>
      <c r="J17" s="483"/>
      <c r="K17" s="484"/>
      <c r="L17" s="12"/>
      <c r="M17" s="475"/>
    </row>
    <row r="18" spans="2:13" ht="14.15" customHeight="1" x14ac:dyDescent="0.3"/>
    <row r="19" spans="2:13" ht="14.15" customHeight="1" x14ac:dyDescent="0.3"/>
    <row r="20" spans="2:13" ht="14.15" customHeight="1" x14ac:dyDescent="0.3"/>
    <row r="21" spans="2:13" ht="14.15" customHeight="1" x14ac:dyDescent="0.3">
      <c r="C21" s="17"/>
    </row>
    <row r="22" spans="2:13" ht="14.15" customHeight="1" x14ac:dyDescent="0.3"/>
    <row r="23" spans="2:13" ht="14.15" customHeight="1" x14ac:dyDescent="0.3"/>
    <row r="24" spans="2:13" ht="14.15" customHeight="1" x14ac:dyDescent="0.3"/>
    <row r="25" spans="2:13" ht="14.15" customHeight="1" x14ac:dyDescent="0.3"/>
    <row r="26" spans="2:13" ht="14.15" customHeight="1" x14ac:dyDescent="0.3"/>
    <row r="27" spans="2:13" ht="14.15" customHeight="1" x14ac:dyDescent="0.3"/>
    <row r="28" spans="2:13" ht="14.15" customHeight="1" x14ac:dyDescent="0.3"/>
    <row r="29" spans="2:13" ht="14.15" customHeight="1" x14ac:dyDescent="0.3"/>
    <row r="30" spans="2:13" ht="14.15" customHeight="1" x14ac:dyDescent="0.3"/>
  </sheetData>
  <sheetProtection algorithmName="SHA-512" hashValue="7Sc6h60H7iF9SZ4bxP6uCQswmqr5MsN3DR5HpexpLuf9qdLe0Hxoi47jci2KX9SBreV4XHMOEZDol1wA/+28hw==" saltValue="WjPTg2qh6g102TNDWKoNxg==" spinCount="100000" sheet="1" selectLockedCells="1"/>
  <protectedRanges>
    <protectedRange password="CAA2" sqref="C8:C10" name="Summe"/>
  </protectedRanges>
  <customSheetViews>
    <customSheetView guid="{168849A9-FED9-4458-942F-290616B3A25C}" scale="50" showGridLines="0" fitToPage="1">
      <selection activeCell="C15" sqref="C15:J15"/>
      <pageMargins left="0.70866141732283472" right="0.70866141732283472" top="1.1811023622047245" bottom="0.78740157480314965" header="0.31496062992125984" footer="0.31496062992125984"/>
      <pageSetup paperSize="8" scale="77" fitToHeight="0" orientation="landscape" cellComments="atEnd" r:id="rId1"/>
      <headerFooter>
        <oddHeader>&amp;LKennzahlenraster KIP / IAS&amp;R&amp;G</oddHeader>
        <oddFooter>&amp;L&amp;A: Zusammenleben&amp;R&amp;P</oddFooter>
      </headerFooter>
    </customSheetView>
  </customSheetViews>
  <mergeCells count="11">
    <mergeCell ref="J9:K10"/>
    <mergeCell ref="M7:M17"/>
    <mergeCell ref="B14:K14"/>
    <mergeCell ref="C15:K15"/>
    <mergeCell ref="C16:K16"/>
    <mergeCell ref="C17:K17"/>
    <mergeCell ref="C3:D3"/>
    <mergeCell ref="C4:D4"/>
    <mergeCell ref="J6:K6"/>
    <mergeCell ref="B6:I6"/>
    <mergeCell ref="B1:K1"/>
  </mergeCells>
  <dataValidations count="5">
    <dataValidation type="whole" operator="greaterThanOrEqual" allowBlank="1" showErrorMessage="1" errorTitle="Fehler" error="Solo i numeri interi e positivi sono validi (0, 200, etc.). " promptTitle="Ganze Zahlen" prompt="Nur ganzzahlige Werte (0, 1, 200 etc.)" sqref="D8:I8" xr:uid="{00000000-0002-0000-0F00-000000000000}">
      <formula1>0</formula1>
    </dataValidation>
    <dataValidation allowBlank="1" showInputMessage="1" showErrorMessage="1" errorTitle="Erfassungsdatum" error="Si prega di compilare" promptTitle="Data del rilevamento" prompt="Si prega di compilare" sqref="C4:D4" xr:uid="{00000000-0002-0000-0F00-000001000000}"/>
    <dataValidation operator="greaterThanOrEqual" allowBlank="1" sqref="J7:K7" xr:uid="{00000000-0002-0000-0F00-000002000000}"/>
    <dataValidation allowBlank="1" sqref="C9:I10" xr:uid="{00000000-0002-0000-0F00-000003000000}"/>
    <dataValidation allowBlank="1" showInputMessage="1" showErrorMessage="1" errorTitle="Data del rilevamento" promptTitle="Data del rilevamento" sqref="D18" xr:uid="{00000000-0002-0000-0F00-000004000000}"/>
  </dataValidations>
  <pageMargins left="0.70866141732283472" right="0.70866141732283472" top="1.1811023622047245" bottom="0.78740157480314965" header="0.31496062992125984" footer="0.31496062992125984"/>
  <pageSetup paperSize="8" scale="75" fitToHeight="0" orientation="landscape" cellComments="atEnd" r:id="rId2"/>
  <headerFooter>
    <oddFooter>&amp;L&amp;A: Zusammenleben&amp;R&amp;P</oddFooter>
  </headerFooter>
  <extLst>
    <ext xmlns:x14="http://schemas.microsoft.com/office/spreadsheetml/2009/9/main" uri="{CCE6A557-97BC-4b89-ADB6-D9C93CAAB3DF}">
      <x14:dataValidations xmlns:xm="http://schemas.microsoft.com/office/excel/2006/main" count="2">
        <x14:dataValidation type="list" operator="greaterThanOrEqual" xr:uid="{00000000-0002-0000-0F00-000005000000}">
          <x14:formula1>
            <xm:f>Dropdownlisten!$C$4:$C$6</xm:f>
          </x14:formula1>
          <xm:sqref>J8</xm:sqref>
        </x14:dataValidation>
        <x14:dataValidation type="list" operator="greaterThanOrEqual" xr:uid="{00000000-0002-0000-0F00-000006000000}">
          <x14:formula1>
            <xm:f>Dropdownlisten!$E$4:$E$6</xm:f>
          </x14:formula1>
          <xm:sqref>K8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tabColor theme="7" tint="0.59999389629810485"/>
  </sheetPr>
  <dimension ref="A1:AJ52"/>
  <sheetViews>
    <sheetView showGridLines="0" zoomScale="70" zoomScaleNormal="70" workbookViewId="0">
      <selection activeCell="K21" sqref="K21"/>
    </sheetView>
  </sheetViews>
  <sheetFormatPr baseColWidth="10" defaultRowHeight="14" x14ac:dyDescent="0.3"/>
  <cols>
    <col min="3" max="36" width="13.08203125" customWidth="1"/>
  </cols>
  <sheetData>
    <row r="1" spans="1:36" ht="30" x14ac:dyDescent="0.3">
      <c r="A1" s="548" t="s">
        <v>152</v>
      </c>
      <c r="B1" s="548"/>
      <c r="C1" s="548"/>
      <c r="D1" s="548"/>
      <c r="E1" s="548"/>
      <c r="F1" s="548"/>
      <c r="G1" s="548"/>
      <c r="H1" s="548"/>
      <c r="I1" s="548"/>
      <c r="J1" s="548"/>
      <c r="K1" s="548"/>
      <c r="L1" s="548"/>
      <c r="M1" s="548"/>
      <c r="N1" s="548"/>
      <c r="O1" s="548"/>
      <c r="P1" s="548"/>
      <c r="Q1" s="548"/>
    </row>
    <row r="3" spans="1:36" ht="20.149999999999999" customHeight="1" x14ac:dyDescent="0.3">
      <c r="A3" s="549" t="s">
        <v>205</v>
      </c>
      <c r="B3" s="550"/>
      <c r="C3" s="550"/>
      <c r="D3" s="550"/>
      <c r="E3" s="550"/>
      <c r="F3" s="550"/>
      <c r="G3" s="550"/>
      <c r="H3" s="550"/>
      <c r="I3" s="550"/>
      <c r="J3" s="550"/>
      <c r="K3" s="550"/>
      <c r="L3" s="550"/>
      <c r="M3" s="550"/>
      <c r="N3" s="550"/>
      <c r="O3" s="550"/>
      <c r="P3" s="550"/>
      <c r="Q3" s="551"/>
    </row>
    <row r="4" spans="1:36" ht="14.5" thickBot="1" x14ac:dyDescent="0.35">
      <c r="A4" s="139"/>
      <c r="B4" s="139"/>
    </row>
    <row r="5" spans="1:36" ht="14.5" thickBot="1" x14ac:dyDescent="0.35">
      <c r="A5" s="552" t="s">
        <v>159</v>
      </c>
      <c r="B5" s="555" t="s">
        <v>160</v>
      </c>
      <c r="C5" s="545" t="s">
        <v>153</v>
      </c>
      <c r="D5" s="546"/>
      <c r="E5" s="546"/>
      <c r="F5" s="546"/>
      <c r="G5" s="547"/>
      <c r="H5" s="545" t="s">
        <v>154</v>
      </c>
      <c r="I5" s="546"/>
      <c r="J5" s="546"/>
      <c r="K5" s="546"/>
      <c r="L5" s="547"/>
      <c r="M5" s="545" t="s">
        <v>155</v>
      </c>
      <c r="N5" s="546"/>
      <c r="O5" s="546"/>
      <c r="P5" s="547"/>
      <c r="Q5" s="545" t="s">
        <v>156</v>
      </c>
      <c r="R5" s="546"/>
      <c r="S5" s="546"/>
      <c r="T5" s="546"/>
      <c r="U5" s="547"/>
      <c r="V5" s="545" t="s">
        <v>161</v>
      </c>
      <c r="W5" s="546"/>
      <c r="X5" s="546"/>
      <c r="Y5" s="546"/>
      <c r="Z5" s="547"/>
      <c r="AA5" s="545" t="s">
        <v>162</v>
      </c>
      <c r="AB5" s="546"/>
      <c r="AC5" s="546"/>
      <c r="AD5" s="546"/>
      <c r="AE5" s="547"/>
      <c r="AF5" s="545" t="s">
        <v>163</v>
      </c>
      <c r="AG5" s="546"/>
      <c r="AH5" s="546"/>
      <c r="AI5" s="546"/>
      <c r="AJ5" s="547"/>
    </row>
    <row r="6" spans="1:36" ht="59.15" customHeight="1" x14ac:dyDescent="0.3">
      <c r="A6" s="553"/>
      <c r="B6" s="556"/>
      <c r="C6" s="542" t="s">
        <v>211</v>
      </c>
      <c r="D6" s="543"/>
      <c r="E6" s="543"/>
      <c r="F6" s="543"/>
      <c r="G6" s="544"/>
      <c r="H6" s="542" t="s">
        <v>214</v>
      </c>
      <c r="I6" s="543"/>
      <c r="J6" s="543"/>
      <c r="K6" s="543"/>
      <c r="L6" s="544"/>
      <c r="M6" s="542" t="s">
        <v>242</v>
      </c>
      <c r="N6" s="543"/>
      <c r="O6" s="543"/>
      <c r="P6" s="544"/>
      <c r="Q6" s="542" t="s">
        <v>245</v>
      </c>
      <c r="R6" s="543"/>
      <c r="S6" s="543"/>
      <c r="T6" s="543"/>
      <c r="U6" s="544"/>
      <c r="V6" s="542" t="s">
        <v>243</v>
      </c>
      <c r="W6" s="543"/>
      <c r="X6" s="543"/>
      <c r="Y6" s="543"/>
      <c r="Z6" s="544"/>
      <c r="AA6" s="542" t="s">
        <v>244</v>
      </c>
      <c r="AB6" s="543"/>
      <c r="AC6" s="543"/>
      <c r="AD6" s="543"/>
      <c r="AE6" s="544"/>
      <c r="AF6" s="542" t="s">
        <v>215</v>
      </c>
      <c r="AG6" s="543"/>
      <c r="AH6" s="543"/>
      <c r="AI6" s="543"/>
      <c r="AJ6" s="544"/>
    </row>
    <row r="7" spans="1:36" ht="14.15" customHeight="1" thickBot="1" x14ac:dyDescent="0.35">
      <c r="A7" s="554"/>
      <c r="B7" s="557"/>
      <c r="C7" s="323" t="s">
        <v>157</v>
      </c>
      <c r="D7" s="173" t="s">
        <v>158</v>
      </c>
      <c r="E7" s="173" t="s">
        <v>179</v>
      </c>
      <c r="F7" s="173" t="s">
        <v>119</v>
      </c>
      <c r="G7" s="173" t="s">
        <v>120</v>
      </c>
      <c r="H7" s="174" t="s">
        <v>157</v>
      </c>
      <c r="I7" s="173" t="s">
        <v>158</v>
      </c>
      <c r="J7" s="173" t="s">
        <v>179</v>
      </c>
      <c r="K7" s="173" t="s">
        <v>119</v>
      </c>
      <c r="L7" s="173" t="s">
        <v>120</v>
      </c>
      <c r="M7" s="174" t="s">
        <v>157</v>
      </c>
      <c r="N7" s="173" t="s">
        <v>158</v>
      </c>
      <c r="O7" s="173" t="s">
        <v>119</v>
      </c>
      <c r="P7" s="173" t="s">
        <v>120</v>
      </c>
      <c r="Q7" s="174" t="s">
        <v>157</v>
      </c>
      <c r="R7" s="173" t="s">
        <v>158</v>
      </c>
      <c r="S7" s="173" t="s">
        <v>179</v>
      </c>
      <c r="T7" s="173" t="s">
        <v>119</v>
      </c>
      <c r="U7" s="173" t="s">
        <v>120</v>
      </c>
      <c r="V7" s="174" t="s">
        <v>157</v>
      </c>
      <c r="W7" s="173" t="s">
        <v>158</v>
      </c>
      <c r="X7" s="173" t="s">
        <v>179</v>
      </c>
      <c r="Y7" s="173" t="s">
        <v>119</v>
      </c>
      <c r="Z7" s="173" t="s">
        <v>120</v>
      </c>
      <c r="AA7" s="174" t="s">
        <v>157</v>
      </c>
      <c r="AB7" s="173" t="s">
        <v>158</v>
      </c>
      <c r="AC7" s="173" t="s">
        <v>179</v>
      </c>
      <c r="AD7" s="173" t="s">
        <v>119</v>
      </c>
      <c r="AE7" s="173" t="s">
        <v>120</v>
      </c>
      <c r="AF7" s="174" t="s">
        <v>157</v>
      </c>
      <c r="AG7" s="173" t="s">
        <v>158</v>
      </c>
      <c r="AH7" s="173" t="s">
        <v>179</v>
      </c>
      <c r="AI7" s="173" t="s">
        <v>119</v>
      </c>
      <c r="AJ7" s="357" t="s">
        <v>120</v>
      </c>
    </row>
    <row r="8" spans="1:36" ht="14.15" customHeight="1" x14ac:dyDescent="0.3">
      <c r="A8" s="180" t="s">
        <v>35</v>
      </c>
      <c r="B8" s="181">
        <v>45291</v>
      </c>
      <c r="C8" s="348">
        <v>2995</v>
      </c>
      <c r="D8" s="282">
        <v>4409</v>
      </c>
      <c r="E8" s="179">
        <v>9461</v>
      </c>
      <c r="F8" s="179">
        <v>1882</v>
      </c>
      <c r="G8" s="179">
        <v>5522</v>
      </c>
      <c r="H8" s="178">
        <v>12342</v>
      </c>
      <c r="I8" s="178">
        <v>10365</v>
      </c>
      <c r="J8" s="179">
        <v>46986</v>
      </c>
      <c r="K8" s="282">
        <v>7941</v>
      </c>
      <c r="L8" s="282">
        <v>14766</v>
      </c>
      <c r="M8" s="179">
        <v>1537</v>
      </c>
      <c r="N8" s="179">
        <v>964</v>
      </c>
      <c r="O8" s="178">
        <v>1040</v>
      </c>
      <c r="P8" s="178">
        <v>1461</v>
      </c>
      <c r="Q8" s="178">
        <v>5885</v>
      </c>
      <c r="R8" s="178">
        <v>1642</v>
      </c>
      <c r="S8" s="178">
        <v>2682</v>
      </c>
      <c r="T8" s="178">
        <v>3673</v>
      </c>
      <c r="U8" s="178">
        <v>3854</v>
      </c>
      <c r="V8" s="348">
        <v>2171</v>
      </c>
      <c r="W8" s="348">
        <v>6748</v>
      </c>
      <c r="X8" s="178">
        <v>7176</v>
      </c>
      <c r="Y8" s="178">
        <v>1424</v>
      </c>
      <c r="Z8" s="178">
        <v>7495</v>
      </c>
      <c r="AA8" s="178">
        <v>9792</v>
      </c>
      <c r="AB8" s="178">
        <v>3295</v>
      </c>
      <c r="AC8" s="178">
        <v>28471</v>
      </c>
      <c r="AD8" s="178">
        <v>6174</v>
      </c>
      <c r="AE8" s="178">
        <v>6913</v>
      </c>
      <c r="AF8" s="178">
        <v>13501</v>
      </c>
      <c r="AG8" s="178">
        <v>11799</v>
      </c>
      <c r="AH8" s="178">
        <v>48765</v>
      </c>
      <c r="AI8" s="178">
        <v>8645</v>
      </c>
      <c r="AJ8" s="358">
        <v>16655</v>
      </c>
    </row>
    <row r="9" spans="1:36" ht="14.15" customHeight="1" x14ac:dyDescent="0.3">
      <c r="A9" s="175" t="s">
        <v>6</v>
      </c>
      <c r="B9" s="281">
        <v>45291</v>
      </c>
      <c r="C9" s="283">
        <v>243</v>
      </c>
      <c r="D9" s="285">
        <v>358</v>
      </c>
      <c r="E9" s="133">
        <v>707</v>
      </c>
      <c r="F9" s="133">
        <v>162</v>
      </c>
      <c r="G9" s="134">
        <v>439</v>
      </c>
      <c r="H9" s="283">
        <v>1177</v>
      </c>
      <c r="I9" s="285">
        <v>873</v>
      </c>
      <c r="J9" s="285">
        <v>3512</v>
      </c>
      <c r="K9" s="285">
        <v>696</v>
      </c>
      <c r="L9" s="286">
        <v>1354</v>
      </c>
      <c r="M9" s="132">
        <v>161</v>
      </c>
      <c r="N9" s="133">
        <v>77</v>
      </c>
      <c r="O9" s="133">
        <v>91</v>
      </c>
      <c r="P9" s="133">
        <v>147</v>
      </c>
      <c r="Q9" s="283">
        <v>454</v>
      </c>
      <c r="R9" s="285">
        <v>72</v>
      </c>
      <c r="S9" s="133">
        <v>193</v>
      </c>
      <c r="T9" s="285">
        <v>270</v>
      </c>
      <c r="U9" s="286">
        <v>256</v>
      </c>
      <c r="V9" s="283">
        <v>189</v>
      </c>
      <c r="W9" s="285">
        <v>586</v>
      </c>
      <c r="X9" s="133">
        <v>525</v>
      </c>
      <c r="Y9" s="133">
        <v>128</v>
      </c>
      <c r="Z9" s="134">
        <v>647</v>
      </c>
      <c r="AA9" s="283">
        <v>946</v>
      </c>
      <c r="AB9" s="285">
        <v>265</v>
      </c>
      <c r="AC9" s="133">
        <v>2210</v>
      </c>
      <c r="AD9" s="285">
        <v>546</v>
      </c>
      <c r="AE9" s="286">
        <v>665</v>
      </c>
      <c r="AF9" s="283">
        <v>1300</v>
      </c>
      <c r="AG9" s="285">
        <v>1005</v>
      </c>
      <c r="AH9" s="285">
        <v>3640</v>
      </c>
      <c r="AI9" s="285">
        <v>779</v>
      </c>
      <c r="AJ9" s="286">
        <v>1526</v>
      </c>
    </row>
    <row r="10" spans="1:36" ht="14.15" customHeight="1" x14ac:dyDescent="0.3">
      <c r="A10" s="138" t="s">
        <v>5</v>
      </c>
      <c r="B10" s="281">
        <v>45291</v>
      </c>
      <c r="C10" s="284">
        <v>13</v>
      </c>
      <c r="D10" s="285">
        <v>10</v>
      </c>
      <c r="E10" s="133">
        <v>15</v>
      </c>
      <c r="F10" s="133">
        <v>7</v>
      </c>
      <c r="G10" s="134">
        <v>16</v>
      </c>
      <c r="H10" s="284">
        <v>44</v>
      </c>
      <c r="I10" s="285">
        <v>28</v>
      </c>
      <c r="J10" s="285">
        <v>93</v>
      </c>
      <c r="K10" s="285">
        <v>25</v>
      </c>
      <c r="L10" s="286">
        <v>47</v>
      </c>
      <c r="M10" s="135">
        <v>6</v>
      </c>
      <c r="N10" s="136">
        <v>5</v>
      </c>
      <c r="O10" s="133">
        <v>4</v>
      </c>
      <c r="P10" s="133">
        <v>7</v>
      </c>
      <c r="Q10" s="284">
        <v>12</v>
      </c>
      <c r="R10" s="287">
        <v>1</v>
      </c>
      <c r="S10" s="133">
        <v>3</v>
      </c>
      <c r="T10" s="285">
        <v>7</v>
      </c>
      <c r="U10" s="286">
        <v>6</v>
      </c>
      <c r="V10" s="284">
        <v>11</v>
      </c>
      <c r="W10" s="287">
        <v>18</v>
      </c>
      <c r="X10" s="133">
        <v>13</v>
      </c>
      <c r="Y10" s="133">
        <v>4</v>
      </c>
      <c r="Z10" s="134">
        <v>25</v>
      </c>
      <c r="AA10" s="284">
        <v>33</v>
      </c>
      <c r="AB10" s="287">
        <v>9</v>
      </c>
      <c r="AC10" s="136">
        <v>63</v>
      </c>
      <c r="AD10" s="285">
        <v>20</v>
      </c>
      <c r="AE10" s="286">
        <v>22</v>
      </c>
      <c r="AF10" s="284">
        <v>46</v>
      </c>
      <c r="AG10" s="287">
        <v>30</v>
      </c>
      <c r="AH10" s="285">
        <v>97</v>
      </c>
      <c r="AI10" s="285">
        <v>26</v>
      </c>
      <c r="AJ10" s="286">
        <v>50</v>
      </c>
    </row>
    <row r="11" spans="1:36" ht="14.15" customHeight="1" x14ac:dyDescent="0.3">
      <c r="A11" s="138" t="s">
        <v>4</v>
      </c>
      <c r="B11" s="281">
        <v>45291</v>
      </c>
      <c r="C11" s="284">
        <v>18</v>
      </c>
      <c r="D11" s="285">
        <v>39</v>
      </c>
      <c r="E11" s="133">
        <v>20</v>
      </c>
      <c r="F11" s="133">
        <v>15</v>
      </c>
      <c r="G11" s="134">
        <v>42</v>
      </c>
      <c r="H11" s="284">
        <v>103</v>
      </c>
      <c r="I11" s="285">
        <v>92</v>
      </c>
      <c r="J11" s="285">
        <v>256</v>
      </c>
      <c r="K11" s="285">
        <v>71</v>
      </c>
      <c r="L11" s="286">
        <v>124</v>
      </c>
      <c r="M11" s="135">
        <v>16</v>
      </c>
      <c r="N11" s="136">
        <v>4</v>
      </c>
      <c r="O11" s="133">
        <v>10</v>
      </c>
      <c r="P11" s="133">
        <v>10</v>
      </c>
      <c r="Q11" s="284">
        <v>44</v>
      </c>
      <c r="R11" s="287">
        <v>9</v>
      </c>
      <c r="S11" s="133">
        <v>17</v>
      </c>
      <c r="T11" s="285">
        <v>29</v>
      </c>
      <c r="U11" s="286">
        <v>24</v>
      </c>
      <c r="V11" s="284">
        <v>13</v>
      </c>
      <c r="W11" s="287">
        <v>55</v>
      </c>
      <c r="X11" s="133">
        <v>34</v>
      </c>
      <c r="Y11" s="133">
        <v>14</v>
      </c>
      <c r="Z11" s="134">
        <v>54</v>
      </c>
      <c r="AA11" s="284">
        <v>88</v>
      </c>
      <c r="AB11" s="287">
        <v>33</v>
      </c>
      <c r="AC11" s="136">
        <v>153</v>
      </c>
      <c r="AD11" s="285">
        <v>55</v>
      </c>
      <c r="AE11" s="286">
        <v>66</v>
      </c>
      <c r="AF11" s="284">
        <v>110</v>
      </c>
      <c r="AG11" s="287">
        <v>99</v>
      </c>
      <c r="AH11" s="285">
        <v>276</v>
      </c>
      <c r="AI11" s="285">
        <v>73</v>
      </c>
      <c r="AJ11" s="286">
        <v>136</v>
      </c>
    </row>
    <row r="12" spans="1:36" ht="14.15" customHeight="1" x14ac:dyDescent="0.3">
      <c r="A12" s="138" t="s">
        <v>7</v>
      </c>
      <c r="B12" s="281">
        <v>45291</v>
      </c>
      <c r="C12" s="284">
        <v>359</v>
      </c>
      <c r="D12" s="285">
        <v>526</v>
      </c>
      <c r="E12" s="133">
        <v>1166</v>
      </c>
      <c r="F12" s="133">
        <v>231</v>
      </c>
      <c r="G12" s="134">
        <v>654</v>
      </c>
      <c r="H12" s="284">
        <v>1551</v>
      </c>
      <c r="I12" s="285">
        <v>1295</v>
      </c>
      <c r="J12" s="285">
        <v>5612</v>
      </c>
      <c r="K12" s="285">
        <v>1018</v>
      </c>
      <c r="L12" s="286">
        <v>1828</v>
      </c>
      <c r="M12" s="135">
        <v>180</v>
      </c>
      <c r="N12" s="136">
        <v>102</v>
      </c>
      <c r="O12" s="133">
        <v>123</v>
      </c>
      <c r="P12" s="133">
        <v>159</v>
      </c>
      <c r="Q12" s="284">
        <v>852</v>
      </c>
      <c r="R12" s="287">
        <v>265</v>
      </c>
      <c r="S12" s="133">
        <v>310</v>
      </c>
      <c r="T12" s="285">
        <v>544</v>
      </c>
      <c r="U12" s="286">
        <v>573</v>
      </c>
      <c r="V12" s="284">
        <v>241</v>
      </c>
      <c r="W12" s="287">
        <v>835</v>
      </c>
      <c r="X12" s="133">
        <v>864</v>
      </c>
      <c r="Y12" s="133">
        <v>170</v>
      </c>
      <c r="Z12" s="134">
        <v>906</v>
      </c>
      <c r="AA12" s="284">
        <v>1263</v>
      </c>
      <c r="AB12" s="287">
        <v>420</v>
      </c>
      <c r="AC12" s="136">
        <v>3393</v>
      </c>
      <c r="AD12" s="285">
        <v>802</v>
      </c>
      <c r="AE12" s="286">
        <v>881</v>
      </c>
      <c r="AF12" s="284">
        <v>1698</v>
      </c>
      <c r="AG12" s="287">
        <v>1488</v>
      </c>
      <c r="AH12" s="285">
        <v>5859</v>
      </c>
      <c r="AI12" s="285">
        <v>1114</v>
      </c>
      <c r="AJ12" s="286">
        <v>2072</v>
      </c>
    </row>
    <row r="13" spans="1:36" ht="14.15" customHeight="1" x14ac:dyDescent="0.3">
      <c r="A13" s="138" t="s">
        <v>8</v>
      </c>
      <c r="B13" s="281">
        <v>45291</v>
      </c>
      <c r="C13" s="284">
        <v>60</v>
      </c>
      <c r="D13" s="285">
        <v>134</v>
      </c>
      <c r="E13" s="133">
        <v>349</v>
      </c>
      <c r="F13" s="133">
        <v>47</v>
      </c>
      <c r="G13" s="134">
        <v>147</v>
      </c>
      <c r="H13" s="284">
        <v>283</v>
      </c>
      <c r="I13" s="285">
        <v>310</v>
      </c>
      <c r="J13" s="285">
        <v>1684</v>
      </c>
      <c r="K13" s="285">
        <v>206</v>
      </c>
      <c r="L13" s="286">
        <v>387</v>
      </c>
      <c r="M13" s="135">
        <v>33</v>
      </c>
      <c r="N13" s="136">
        <v>27</v>
      </c>
      <c r="O13" s="133">
        <v>24</v>
      </c>
      <c r="P13" s="133">
        <v>36</v>
      </c>
      <c r="Q13" s="284">
        <v>141</v>
      </c>
      <c r="R13" s="287">
        <v>51</v>
      </c>
      <c r="S13" s="133">
        <v>115</v>
      </c>
      <c r="T13" s="285">
        <v>101</v>
      </c>
      <c r="U13" s="286">
        <v>91</v>
      </c>
      <c r="V13" s="284">
        <v>70</v>
      </c>
      <c r="W13" s="287">
        <v>212</v>
      </c>
      <c r="X13" s="133">
        <v>227</v>
      </c>
      <c r="Y13" s="133">
        <v>44</v>
      </c>
      <c r="Z13" s="134">
        <v>238</v>
      </c>
      <c r="AA13" s="284">
        <v>205</v>
      </c>
      <c r="AB13" s="287">
        <v>90</v>
      </c>
      <c r="AC13" s="136">
        <v>1031</v>
      </c>
      <c r="AD13" s="285">
        <v>154</v>
      </c>
      <c r="AE13" s="286">
        <v>141</v>
      </c>
      <c r="AF13" s="284">
        <v>315</v>
      </c>
      <c r="AG13" s="287">
        <v>357</v>
      </c>
      <c r="AH13" s="285">
        <v>1751</v>
      </c>
      <c r="AI13" s="285">
        <v>225</v>
      </c>
      <c r="AJ13" s="286">
        <v>447</v>
      </c>
    </row>
    <row r="14" spans="1:36" ht="14.15" customHeight="1" x14ac:dyDescent="0.3">
      <c r="A14" s="138" t="s">
        <v>9</v>
      </c>
      <c r="B14" s="281">
        <v>45291</v>
      </c>
      <c r="C14" s="284">
        <v>65</v>
      </c>
      <c r="D14" s="285">
        <v>80</v>
      </c>
      <c r="E14" s="133">
        <v>179</v>
      </c>
      <c r="F14" s="133">
        <v>40</v>
      </c>
      <c r="G14" s="134">
        <v>105</v>
      </c>
      <c r="H14" s="284">
        <v>274</v>
      </c>
      <c r="I14" s="285">
        <v>207</v>
      </c>
      <c r="J14" s="285">
        <v>1238</v>
      </c>
      <c r="K14" s="285">
        <v>187</v>
      </c>
      <c r="L14" s="286">
        <v>294</v>
      </c>
      <c r="M14" s="135">
        <v>32</v>
      </c>
      <c r="N14" s="136">
        <v>23</v>
      </c>
      <c r="O14" s="133">
        <v>20</v>
      </c>
      <c r="P14" s="133">
        <v>35</v>
      </c>
      <c r="Q14" s="284">
        <v>109</v>
      </c>
      <c r="R14" s="287">
        <v>39</v>
      </c>
      <c r="S14" s="133">
        <v>51</v>
      </c>
      <c r="T14" s="285">
        <v>76</v>
      </c>
      <c r="U14" s="286">
        <v>72</v>
      </c>
      <c r="V14" s="284">
        <v>61</v>
      </c>
      <c r="W14" s="287">
        <v>116</v>
      </c>
      <c r="X14" s="133">
        <v>199</v>
      </c>
      <c r="Y14" s="133">
        <v>34</v>
      </c>
      <c r="Z14" s="134">
        <v>143</v>
      </c>
      <c r="AA14" s="284">
        <v>196</v>
      </c>
      <c r="AB14" s="287">
        <v>74</v>
      </c>
      <c r="AC14" s="133">
        <v>721</v>
      </c>
      <c r="AD14" s="285">
        <v>135</v>
      </c>
      <c r="AE14" s="286">
        <v>135</v>
      </c>
      <c r="AF14" s="284">
        <v>297</v>
      </c>
      <c r="AG14" s="287">
        <v>248</v>
      </c>
      <c r="AH14" s="285">
        <v>1278</v>
      </c>
      <c r="AI14" s="285">
        <v>201</v>
      </c>
      <c r="AJ14" s="286">
        <v>344</v>
      </c>
    </row>
    <row r="15" spans="1:36" ht="14.15" customHeight="1" x14ac:dyDescent="0.3">
      <c r="A15" s="138" t="s">
        <v>10</v>
      </c>
      <c r="B15" s="281">
        <v>45291</v>
      </c>
      <c r="C15" s="284">
        <v>94</v>
      </c>
      <c r="D15" s="285">
        <v>156</v>
      </c>
      <c r="E15" s="133">
        <v>352</v>
      </c>
      <c r="F15" s="133">
        <v>53</v>
      </c>
      <c r="G15" s="134">
        <v>197</v>
      </c>
      <c r="H15" s="284">
        <v>367</v>
      </c>
      <c r="I15" s="285">
        <v>365</v>
      </c>
      <c r="J15" s="285">
        <v>1756</v>
      </c>
      <c r="K15" s="285">
        <v>242</v>
      </c>
      <c r="L15" s="286">
        <v>490</v>
      </c>
      <c r="M15" s="135">
        <v>45</v>
      </c>
      <c r="N15" s="136">
        <v>35</v>
      </c>
      <c r="O15" s="133">
        <v>34</v>
      </c>
      <c r="P15" s="133">
        <v>46</v>
      </c>
      <c r="Q15" s="284">
        <v>248</v>
      </c>
      <c r="R15" s="287">
        <v>46</v>
      </c>
      <c r="S15" s="133">
        <v>97</v>
      </c>
      <c r="T15" s="285">
        <v>149</v>
      </c>
      <c r="U15" s="286">
        <v>145</v>
      </c>
      <c r="V15" s="284">
        <v>74</v>
      </c>
      <c r="W15" s="287">
        <v>241</v>
      </c>
      <c r="X15" s="133">
        <v>310</v>
      </c>
      <c r="Y15" s="133">
        <v>43</v>
      </c>
      <c r="Z15" s="134">
        <v>272</v>
      </c>
      <c r="AA15" s="284">
        <v>280</v>
      </c>
      <c r="AB15" s="287">
        <v>112</v>
      </c>
      <c r="AC15" s="133">
        <v>1019</v>
      </c>
      <c r="AD15" s="285">
        <v>188</v>
      </c>
      <c r="AE15" s="286">
        <v>204</v>
      </c>
      <c r="AF15" s="284">
        <v>412</v>
      </c>
      <c r="AG15" s="287">
        <v>418</v>
      </c>
      <c r="AH15" s="285">
        <v>1838</v>
      </c>
      <c r="AI15" s="285">
        <v>267</v>
      </c>
      <c r="AJ15" s="286">
        <v>563</v>
      </c>
    </row>
    <row r="16" spans="1:36" ht="14.15" customHeight="1" x14ac:dyDescent="0.3">
      <c r="A16" s="138" t="s">
        <v>11</v>
      </c>
      <c r="B16" s="281">
        <v>45291</v>
      </c>
      <c r="C16" s="284">
        <v>244</v>
      </c>
      <c r="D16" s="285">
        <v>247</v>
      </c>
      <c r="E16" s="133">
        <v>626</v>
      </c>
      <c r="F16" s="133">
        <v>140</v>
      </c>
      <c r="G16" s="134">
        <v>351</v>
      </c>
      <c r="H16" s="284">
        <v>915</v>
      </c>
      <c r="I16" s="285">
        <v>604</v>
      </c>
      <c r="J16" s="285">
        <v>3139</v>
      </c>
      <c r="K16" s="285">
        <v>569</v>
      </c>
      <c r="L16" s="286">
        <v>950</v>
      </c>
      <c r="M16" s="135">
        <v>119</v>
      </c>
      <c r="N16" s="136">
        <v>67</v>
      </c>
      <c r="O16" s="133">
        <v>79</v>
      </c>
      <c r="P16" s="133">
        <v>107</v>
      </c>
      <c r="Q16" s="284">
        <v>414</v>
      </c>
      <c r="R16" s="287">
        <v>136</v>
      </c>
      <c r="S16" s="133">
        <v>180</v>
      </c>
      <c r="T16" s="285">
        <v>264</v>
      </c>
      <c r="U16" s="286">
        <v>286</v>
      </c>
      <c r="V16" s="284">
        <v>158</v>
      </c>
      <c r="W16" s="287">
        <v>351</v>
      </c>
      <c r="X16" s="133">
        <v>415</v>
      </c>
      <c r="Y16" s="133">
        <v>95</v>
      </c>
      <c r="Z16" s="134">
        <v>414</v>
      </c>
      <c r="AA16" s="284">
        <v>725</v>
      </c>
      <c r="AB16" s="287">
        <v>229</v>
      </c>
      <c r="AC16" s="133">
        <v>1862</v>
      </c>
      <c r="AD16" s="285">
        <v>444</v>
      </c>
      <c r="AE16" s="286">
        <v>510</v>
      </c>
      <c r="AF16" s="284">
        <v>987</v>
      </c>
      <c r="AG16" s="287">
        <v>693</v>
      </c>
      <c r="AH16" s="285">
        <v>3240</v>
      </c>
      <c r="AI16" s="285">
        <v>603</v>
      </c>
      <c r="AJ16" s="286">
        <v>1077</v>
      </c>
    </row>
    <row r="17" spans="1:36" ht="14.15" customHeight="1" x14ac:dyDescent="0.3">
      <c r="A17" s="138" t="s">
        <v>3</v>
      </c>
      <c r="B17" s="281">
        <v>45291</v>
      </c>
      <c r="C17" s="284">
        <v>14</v>
      </c>
      <c r="D17" s="285">
        <v>26</v>
      </c>
      <c r="E17" s="133">
        <v>27</v>
      </c>
      <c r="F17" s="133">
        <v>7</v>
      </c>
      <c r="G17" s="134">
        <v>33</v>
      </c>
      <c r="H17" s="284">
        <v>63</v>
      </c>
      <c r="I17" s="285">
        <v>76</v>
      </c>
      <c r="J17" s="285">
        <v>210</v>
      </c>
      <c r="K17" s="285">
        <v>48</v>
      </c>
      <c r="L17" s="286">
        <v>91</v>
      </c>
      <c r="M17" s="135">
        <v>10</v>
      </c>
      <c r="N17" s="136">
        <v>6</v>
      </c>
      <c r="O17" s="133">
        <v>8</v>
      </c>
      <c r="P17" s="133">
        <v>8</v>
      </c>
      <c r="Q17" s="284">
        <v>27</v>
      </c>
      <c r="R17" s="287">
        <v>5</v>
      </c>
      <c r="S17" s="133">
        <v>13</v>
      </c>
      <c r="T17" s="285">
        <v>16</v>
      </c>
      <c r="U17" s="286">
        <v>16</v>
      </c>
      <c r="V17" s="284">
        <v>8</v>
      </c>
      <c r="W17" s="287">
        <v>44</v>
      </c>
      <c r="X17" s="133">
        <v>37</v>
      </c>
      <c r="Y17" s="133">
        <v>7</v>
      </c>
      <c r="Z17" s="134">
        <v>45</v>
      </c>
      <c r="AA17" s="284">
        <v>54</v>
      </c>
      <c r="AB17" s="287">
        <v>32</v>
      </c>
      <c r="AC17" s="133">
        <v>119</v>
      </c>
      <c r="AD17" s="285">
        <v>40</v>
      </c>
      <c r="AE17" s="286">
        <v>46</v>
      </c>
      <c r="AF17" s="284">
        <v>70</v>
      </c>
      <c r="AG17" s="287">
        <v>84</v>
      </c>
      <c r="AH17" s="285">
        <v>215</v>
      </c>
      <c r="AI17" s="285">
        <v>53</v>
      </c>
      <c r="AJ17" s="286">
        <v>101</v>
      </c>
    </row>
    <row r="18" spans="1:36" ht="14.15" customHeight="1" x14ac:dyDescent="0.3">
      <c r="A18" s="138" t="s">
        <v>12</v>
      </c>
      <c r="B18" s="281">
        <v>45291</v>
      </c>
      <c r="C18" s="284">
        <v>66</v>
      </c>
      <c r="D18" s="285">
        <v>121</v>
      </c>
      <c r="E18" s="133">
        <v>160</v>
      </c>
      <c r="F18" s="133">
        <v>48</v>
      </c>
      <c r="G18" s="134">
        <v>139</v>
      </c>
      <c r="H18" s="284">
        <v>317</v>
      </c>
      <c r="I18" s="285">
        <v>255</v>
      </c>
      <c r="J18" s="285">
        <v>896</v>
      </c>
      <c r="K18" s="285">
        <v>192</v>
      </c>
      <c r="L18" s="286">
        <v>380</v>
      </c>
      <c r="M18" s="135">
        <v>41</v>
      </c>
      <c r="N18" s="136">
        <v>27</v>
      </c>
      <c r="O18" s="133">
        <v>26</v>
      </c>
      <c r="P18" s="133">
        <v>42</v>
      </c>
      <c r="Q18" s="284">
        <v>140</v>
      </c>
      <c r="R18" s="287">
        <v>34</v>
      </c>
      <c r="S18" s="133">
        <v>68</v>
      </c>
      <c r="T18" s="285">
        <v>83</v>
      </c>
      <c r="U18" s="286">
        <v>91</v>
      </c>
      <c r="V18" s="284">
        <v>59</v>
      </c>
      <c r="W18" s="287">
        <v>176</v>
      </c>
      <c r="X18" s="133">
        <v>116</v>
      </c>
      <c r="Y18" s="133">
        <v>40</v>
      </c>
      <c r="Z18" s="134">
        <v>195</v>
      </c>
      <c r="AA18" s="284">
        <v>250</v>
      </c>
      <c r="AB18" s="287">
        <v>74</v>
      </c>
      <c r="AC18" s="133">
        <v>567</v>
      </c>
      <c r="AD18" s="285">
        <v>148</v>
      </c>
      <c r="AE18" s="286">
        <v>176</v>
      </c>
      <c r="AF18" s="284">
        <v>342</v>
      </c>
      <c r="AG18" s="287">
        <v>291</v>
      </c>
      <c r="AH18" s="285">
        <v>924</v>
      </c>
      <c r="AI18" s="285">
        <v>210</v>
      </c>
      <c r="AJ18" s="286">
        <v>423</v>
      </c>
    </row>
    <row r="19" spans="1:36" ht="14.15" customHeight="1" x14ac:dyDescent="0.3">
      <c r="A19" s="138" t="s">
        <v>13</v>
      </c>
      <c r="B19" s="281">
        <v>45291</v>
      </c>
      <c r="C19" s="284">
        <v>39</v>
      </c>
      <c r="D19" s="285">
        <v>31</v>
      </c>
      <c r="E19" s="133">
        <v>71</v>
      </c>
      <c r="F19" s="133">
        <v>20</v>
      </c>
      <c r="G19" s="134">
        <v>50</v>
      </c>
      <c r="H19" s="284">
        <v>149</v>
      </c>
      <c r="I19" s="285">
        <v>86</v>
      </c>
      <c r="J19" s="285">
        <v>387</v>
      </c>
      <c r="K19" s="285">
        <v>94</v>
      </c>
      <c r="L19" s="286">
        <v>141</v>
      </c>
      <c r="M19" s="135">
        <v>26</v>
      </c>
      <c r="N19" s="136">
        <v>19</v>
      </c>
      <c r="O19" s="133">
        <v>25</v>
      </c>
      <c r="P19" s="133">
        <v>20</v>
      </c>
      <c r="Q19" s="284">
        <v>95</v>
      </c>
      <c r="R19" s="287">
        <v>13</v>
      </c>
      <c r="S19" s="133">
        <v>12</v>
      </c>
      <c r="T19" s="285">
        <v>58</v>
      </c>
      <c r="U19" s="286">
        <v>50</v>
      </c>
      <c r="V19" s="284">
        <v>23</v>
      </c>
      <c r="W19" s="287">
        <v>57</v>
      </c>
      <c r="X19" s="133">
        <v>51</v>
      </c>
      <c r="Y19" s="133">
        <v>10</v>
      </c>
      <c r="Z19" s="134">
        <v>70</v>
      </c>
      <c r="AA19" s="284">
        <v>121</v>
      </c>
      <c r="AB19" s="287">
        <v>26</v>
      </c>
      <c r="AC19" s="133">
        <v>230</v>
      </c>
      <c r="AD19" s="285">
        <v>80</v>
      </c>
      <c r="AE19" s="286">
        <v>67</v>
      </c>
      <c r="AF19" s="284">
        <v>169</v>
      </c>
      <c r="AG19" s="287">
        <v>97</v>
      </c>
      <c r="AH19" s="285">
        <v>405</v>
      </c>
      <c r="AI19" s="285">
        <v>101</v>
      </c>
      <c r="AJ19" s="286">
        <v>165</v>
      </c>
    </row>
    <row r="20" spans="1:36" ht="14.15" customHeight="1" x14ac:dyDescent="0.3">
      <c r="A20" s="138" t="s">
        <v>14</v>
      </c>
      <c r="B20" s="281">
        <v>45291</v>
      </c>
      <c r="C20" s="284">
        <v>177</v>
      </c>
      <c r="D20" s="285">
        <v>198</v>
      </c>
      <c r="E20" s="133">
        <v>387</v>
      </c>
      <c r="F20" s="133">
        <v>104</v>
      </c>
      <c r="G20" s="134">
        <v>271</v>
      </c>
      <c r="H20" s="284">
        <v>702</v>
      </c>
      <c r="I20" s="285">
        <v>522</v>
      </c>
      <c r="J20" s="285">
        <v>2289</v>
      </c>
      <c r="K20" s="285">
        <v>440</v>
      </c>
      <c r="L20" s="286">
        <v>784</v>
      </c>
      <c r="M20" s="135">
        <v>86</v>
      </c>
      <c r="N20" s="136">
        <v>50</v>
      </c>
      <c r="O20" s="133">
        <v>69</v>
      </c>
      <c r="P20" s="133">
        <v>67</v>
      </c>
      <c r="Q20" s="284">
        <v>326</v>
      </c>
      <c r="R20" s="287">
        <v>80</v>
      </c>
      <c r="S20" s="133">
        <v>117</v>
      </c>
      <c r="T20" s="285">
        <v>175</v>
      </c>
      <c r="U20" s="286">
        <v>231</v>
      </c>
      <c r="V20" s="284">
        <v>112</v>
      </c>
      <c r="W20" s="287">
        <v>329</v>
      </c>
      <c r="X20" s="133">
        <v>400</v>
      </c>
      <c r="Y20" s="133">
        <v>81</v>
      </c>
      <c r="Z20" s="134">
        <v>360</v>
      </c>
      <c r="AA20" s="284">
        <v>574</v>
      </c>
      <c r="AB20" s="287">
        <v>178</v>
      </c>
      <c r="AC20" s="133">
        <v>1413</v>
      </c>
      <c r="AD20" s="285">
        <v>344</v>
      </c>
      <c r="AE20" s="286">
        <v>408</v>
      </c>
      <c r="AF20" s="284">
        <v>771</v>
      </c>
      <c r="AG20" s="287">
        <v>595</v>
      </c>
      <c r="AH20" s="285">
        <v>2367</v>
      </c>
      <c r="AI20" s="285">
        <v>473</v>
      </c>
      <c r="AJ20" s="286">
        <v>893</v>
      </c>
    </row>
    <row r="21" spans="1:36" ht="14.15" customHeight="1" x14ac:dyDescent="0.3">
      <c r="A21" s="138" t="s">
        <v>15</v>
      </c>
      <c r="B21" s="281">
        <v>45291</v>
      </c>
      <c r="C21" s="284">
        <v>44</v>
      </c>
      <c r="D21" s="285">
        <v>81</v>
      </c>
      <c r="E21" s="133">
        <v>205</v>
      </c>
      <c r="F21" s="133">
        <v>44</v>
      </c>
      <c r="G21" s="134">
        <v>81</v>
      </c>
      <c r="H21" s="284">
        <v>186</v>
      </c>
      <c r="I21" s="285">
        <v>176</v>
      </c>
      <c r="J21" s="285">
        <v>928</v>
      </c>
      <c r="K21" s="285">
        <v>145</v>
      </c>
      <c r="L21" s="286">
        <v>217</v>
      </c>
      <c r="M21" s="135">
        <v>22</v>
      </c>
      <c r="N21" s="136">
        <v>14</v>
      </c>
      <c r="O21" s="133">
        <v>17</v>
      </c>
      <c r="P21" s="133">
        <v>19</v>
      </c>
      <c r="Q21" s="284">
        <v>136</v>
      </c>
      <c r="R21" s="287">
        <v>34</v>
      </c>
      <c r="S21" s="133">
        <v>55</v>
      </c>
      <c r="T21" s="285">
        <v>81</v>
      </c>
      <c r="U21" s="286">
        <v>89</v>
      </c>
      <c r="V21" s="284">
        <v>38</v>
      </c>
      <c r="W21" s="287">
        <v>104</v>
      </c>
      <c r="X21" s="133">
        <v>146</v>
      </c>
      <c r="Y21" s="133">
        <v>21</v>
      </c>
      <c r="Z21" s="134">
        <v>121</v>
      </c>
      <c r="AA21" s="284">
        <v>142</v>
      </c>
      <c r="AB21" s="287">
        <v>60</v>
      </c>
      <c r="AC21" s="133">
        <v>567</v>
      </c>
      <c r="AD21" s="285">
        <v>113</v>
      </c>
      <c r="AE21" s="286">
        <v>89</v>
      </c>
      <c r="AF21" s="284">
        <v>198</v>
      </c>
      <c r="AG21" s="287">
        <v>199</v>
      </c>
      <c r="AH21" s="285">
        <v>972</v>
      </c>
      <c r="AI21" s="285">
        <v>153</v>
      </c>
      <c r="AJ21" s="286">
        <v>244</v>
      </c>
    </row>
    <row r="22" spans="1:36" ht="14.15" customHeight="1" x14ac:dyDescent="0.3">
      <c r="A22" s="138" t="s">
        <v>16</v>
      </c>
      <c r="B22" s="281">
        <v>45291</v>
      </c>
      <c r="C22" s="284">
        <v>30</v>
      </c>
      <c r="D22" s="285">
        <v>13</v>
      </c>
      <c r="E22" s="133">
        <v>27</v>
      </c>
      <c r="F22" s="133">
        <v>18</v>
      </c>
      <c r="G22" s="134">
        <v>25</v>
      </c>
      <c r="H22" s="284">
        <v>99</v>
      </c>
      <c r="I22" s="285">
        <v>62</v>
      </c>
      <c r="J22" s="285">
        <v>208</v>
      </c>
      <c r="K22" s="285">
        <v>64</v>
      </c>
      <c r="L22" s="286">
        <v>97</v>
      </c>
      <c r="M22" s="135">
        <v>9</v>
      </c>
      <c r="N22" s="136">
        <v>6</v>
      </c>
      <c r="O22" s="133">
        <v>7</v>
      </c>
      <c r="P22" s="133">
        <v>8</v>
      </c>
      <c r="Q22" s="284">
        <v>35</v>
      </c>
      <c r="R22" s="287">
        <v>11</v>
      </c>
      <c r="S22" s="133">
        <v>13</v>
      </c>
      <c r="T22" s="285">
        <v>20</v>
      </c>
      <c r="U22" s="286">
        <v>26</v>
      </c>
      <c r="V22" s="284">
        <v>17</v>
      </c>
      <c r="W22" s="287">
        <v>34</v>
      </c>
      <c r="X22" s="133">
        <v>31</v>
      </c>
      <c r="Y22" s="133">
        <v>16</v>
      </c>
      <c r="Z22" s="134">
        <v>35</v>
      </c>
      <c r="AA22" s="284">
        <v>79</v>
      </c>
      <c r="AB22" s="287">
        <v>26</v>
      </c>
      <c r="AC22" s="133">
        <v>122</v>
      </c>
      <c r="AD22" s="285">
        <v>46</v>
      </c>
      <c r="AE22" s="286">
        <v>59</v>
      </c>
      <c r="AF22" s="284">
        <v>106</v>
      </c>
      <c r="AG22" s="287">
        <v>64</v>
      </c>
      <c r="AH22" s="285">
        <v>218</v>
      </c>
      <c r="AI22" s="285">
        <v>67</v>
      </c>
      <c r="AJ22" s="286">
        <v>103</v>
      </c>
    </row>
    <row r="23" spans="1:36" ht="14.15" customHeight="1" x14ac:dyDescent="0.3">
      <c r="A23" s="138" t="s">
        <v>17</v>
      </c>
      <c r="B23" s="281">
        <v>45291</v>
      </c>
      <c r="C23" s="284">
        <v>5</v>
      </c>
      <c r="D23" s="285">
        <v>12</v>
      </c>
      <c r="E23" s="133">
        <v>36</v>
      </c>
      <c r="F23" s="133">
        <v>6</v>
      </c>
      <c r="G23" s="134">
        <v>11</v>
      </c>
      <c r="H23" s="284">
        <v>31</v>
      </c>
      <c r="I23" s="285">
        <v>37</v>
      </c>
      <c r="J23" s="285">
        <v>150</v>
      </c>
      <c r="K23" s="285">
        <v>28</v>
      </c>
      <c r="L23" s="286">
        <v>40</v>
      </c>
      <c r="M23" s="135">
        <v>7</v>
      </c>
      <c r="N23" s="136">
        <v>5</v>
      </c>
      <c r="O23" s="133">
        <v>3</v>
      </c>
      <c r="P23" s="133">
        <v>9</v>
      </c>
      <c r="Q23" s="284">
        <v>26</v>
      </c>
      <c r="R23" s="287">
        <v>4</v>
      </c>
      <c r="S23" s="133">
        <v>10</v>
      </c>
      <c r="T23" s="285">
        <v>17</v>
      </c>
      <c r="U23" s="286">
        <v>13</v>
      </c>
      <c r="V23" s="284">
        <v>4</v>
      </c>
      <c r="W23" s="287">
        <v>19</v>
      </c>
      <c r="X23" s="133">
        <v>21</v>
      </c>
      <c r="Y23" s="133">
        <v>6</v>
      </c>
      <c r="Z23" s="134">
        <v>17</v>
      </c>
      <c r="AA23" s="284">
        <v>25</v>
      </c>
      <c r="AB23" s="287">
        <v>18</v>
      </c>
      <c r="AC23" s="133">
        <v>98</v>
      </c>
      <c r="AD23" s="285">
        <v>21</v>
      </c>
      <c r="AE23" s="286">
        <v>22</v>
      </c>
      <c r="AF23" s="284">
        <v>32</v>
      </c>
      <c r="AG23" s="287">
        <v>37</v>
      </c>
      <c r="AH23" s="285">
        <v>154</v>
      </c>
      <c r="AI23" s="285">
        <v>28</v>
      </c>
      <c r="AJ23" s="286">
        <v>41</v>
      </c>
    </row>
    <row r="24" spans="1:36" ht="14.15" customHeight="1" x14ac:dyDescent="0.3">
      <c r="A24" s="138" t="s">
        <v>18</v>
      </c>
      <c r="B24" s="281">
        <v>45291</v>
      </c>
      <c r="C24" s="284">
        <v>166</v>
      </c>
      <c r="D24" s="285">
        <v>296</v>
      </c>
      <c r="E24" s="133">
        <v>591</v>
      </c>
      <c r="F24" s="133">
        <v>93</v>
      </c>
      <c r="G24" s="134">
        <v>369</v>
      </c>
      <c r="H24" s="284">
        <v>688</v>
      </c>
      <c r="I24" s="285">
        <v>658</v>
      </c>
      <c r="J24" s="285">
        <v>2872</v>
      </c>
      <c r="K24" s="285">
        <v>429</v>
      </c>
      <c r="L24" s="286">
        <v>917</v>
      </c>
      <c r="M24" s="135">
        <v>88</v>
      </c>
      <c r="N24" s="136">
        <v>59</v>
      </c>
      <c r="O24" s="133">
        <v>63</v>
      </c>
      <c r="P24" s="133">
        <v>84</v>
      </c>
      <c r="Q24" s="284">
        <v>303</v>
      </c>
      <c r="R24" s="287">
        <v>89</v>
      </c>
      <c r="S24" s="133">
        <v>181</v>
      </c>
      <c r="T24" s="285">
        <v>184</v>
      </c>
      <c r="U24" s="286">
        <v>208</v>
      </c>
      <c r="V24" s="284">
        <v>117</v>
      </c>
      <c r="W24" s="287">
        <v>427</v>
      </c>
      <c r="X24" s="133">
        <v>474</v>
      </c>
      <c r="Y24" s="133">
        <v>70</v>
      </c>
      <c r="Z24" s="134">
        <v>474</v>
      </c>
      <c r="AA24" s="284">
        <v>552</v>
      </c>
      <c r="AB24" s="287">
        <v>215</v>
      </c>
      <c r="AC24" s="133">
        <v>1737</v>
      </c>
      <c r="AD24" s="285">
        <v>339</v>
      </c>
      <c r="AE24" s="286">
        <v>428</v>
      </c>
      <c r="AF24" s="284">
        <v>749</v>
      </c>
      <c r="AG24" s="287">
        <v>738</v>
      </c>
      <c r="AH24" s="285">
        <v>2973</v>
      </c>
      <c r="AI24" s="285">
        <v>467</v>
      </c>
      <c r="AJ24" s="286">
        <v>1020</v>
      </c>
    </row>
    <row r="25" spans="1:36" ht="14.15" customHeight="1" x14ac:dyDescent="0.3">
      <c r="A25" s="138" t="s">
        <v>19</v>
      </c>
      <c r="B25" s="281">
        <v>45291</v>
      </c>
      <c r="C25" s="284">
        <v>45</v>
      </c>
      <c r="D25" s="285">
        <v>51</v>
      </c>
      <c r="E25" s="133">
        <v>84</v>
      </c>
      <c r="F25" s="133">
        <v>24</v>
      </c>
      <c r="G25" s="134">
        <v>72</v>
      </c>
      <c r="H25" s="284">
        <v>178</v>
      </c>
      <c r="I25" s="285">
        <v>120</v>
      </c>
      <c r="J25" s="285">
        <v>495</v>
      </c>
      <c r="K25" s="285">
        <v>99</v>
      </c>
      <c r="L25" s="286">
        <v>199</v>
      </c>
      <c r="M25" s="135">
        <v>29</v>
      </c>
      <c r="N25" s="136">
        <v>11</v>
      </c>
      <c r="O25" s="133">
        <v>13</v>
      </c>
      <c r="P25" s="133">
        <v>27</v>
      </c>
      <c r="Q25" s="284">
        <v>73</v>
      </c>
      <c r="R25" s="287">
        <v>15</v>
      </c>
      <c r="S25" s="133">
        <v>32</v>
      </c>
      <c r="T25" s="285">
        <v>46</v>
      </c>
      <c r="U25" s="286">
        <v>42</v>
      </c>
      <c r="V25" s="284">
        <v>38</v>
      </c>
      <c r="W25" s="287">
        <v>82</v>
      </c>
      <c r="X25" s="133">
        <v>58</v>
      </c>
      <c r="Y25" s="133">
        <v>16</v>
      </c>
      <c r="Z25" s="134">
        <v>104</v>
      </c>
      <c r="AA25" s="284">
        <v>133</v>
      </c>
      <c r="AB25" s="287">
        <v>32</v>
      </c>
      <c r="AC25" s="133">
        <v>312</v>
      </c>
      <c r="AD25" s="285">
        <v>77</v>
      </c>
      <c r="AE25" s="286">
        <v>88</v>
      </c>
      <c r="AF25" s="284">
        <v>190</v>
      </c>
      <c r="AG25" s="287">
        <v>133</v>
      </c>
      <c r="AH25" s="285">
        <v>508</v>
      </c>
      <c r="AI25" s="285">
        <v>105</v>
      </c>
      <c r="AJ25" s="286">
        <v>218</v>
      </c>
    </row>
    <row r="26" spans="1:36" ht="14.15" customHeight="1" x14ac:dyDescent="0.3">
      <c r="A26" s="138" t="s">
        <v>20</v>
      </c>
      <c r="B26" s="281">
        <v>45291</v>
      </c>
      <c r="C26" s="284">
        <v>91</v>
      </c>
      <c r="D26" s="285">
        <v>136</v>
      </c>
      <c r="E26" s="133">
        <v>273</v>
      </c>
      <c r="F26" s="133">
        <v>56</v>
      </c>
      <c r="G26" s="134">
        <v>171</v>
      </c>
      <c r="H26" s="284">
        <v>423</v>
      </c>
      <c r="I26" s="285">
        <v>309</v>
      </c>
      <c r="J26" s="285">
        <v>1490</v>
      </c>
      <c r="K26" s="285">
        <v>276</v>
      </c>
      <c r="L26" s="286">
        <v>456</v>
      </c>
      <c r="M26" s="135">
        <v>52</v>
      </c>
      <c r="N26" s="136">
        <v>19</v>
      </c>
      <c r="O26" s="133">
        <v>31</v>
      </c>
      <c r="P26" s="133">
        <v>40</v>
      </c>
      <c r="Q26" s="284">
        <v>270</v>
      </c>
      <c r="R26" s="287">
        <v>41</v>
      </c>
      <c r="S26" s="133">
        <v>98</v>
      </c>
      <c r="T26" s="285">
        <v>158</v>
      </c>
      <c r="U26" s="286">
        <v>153</v>
      </c>
      <c r="V26" s="284">
        <v>87</v>
      </c>
      <c r="W26" s="287">
        <v>214</v>
      </c>
      <c r="X26" s="133">
        <v>229</v>
      </c>
      <c r="Y26" s="133">
        <v>64</v>
      </c>
      <c r="Z26" s="134">
        <v>237</v>
      </c>
      <c r="AA26" s="284">
        <v>320</v>
      </c>
      <c r="AB26" s="287">
        <v>89</v>
      </c>
      <c r="AC26" s="133">
        <v>910</v>
      </c>
      <c r="AD26" s="285">
        <v>201</v>
      </c>
      <c r="AE26" s="286">
        <v>208</v>
      </c>
      <c r="AF26" s="284">
        <v>482</v>
      </c>
      <c r="AG26" s="287">
        <v>356</v>
      </c>
      <c r="AH26" s="285">
        <v>1541</v>
      </c>
      <c r="AI26" s="285">
        <v>309</v>
      </c>
      <c r="AJ26" s="286">
        <v>529</v>
      </c>
    </row>
    <row r="27" spans="1:36" ht="14.15" customHeight="1" x14ac:dyDescent="0.3">
      <c r="A27" s="138" t="s">
        <v>21</v>
      </c>
      <c r="B27" s="281">
        <v>45291</v>
      </c>
      <c r="C27" s="284">
        <v>91</v>
      </c>
      <c r="D27" s="285">
        <v>99</v>
      </c>
      <c r="E27" s="133">
        <v>169</v>
      </c>
      <c r="F27" s="133">
        <v>53</v>
      </c>
      <c r="G27" s="134">
        <v>137</v>
      </c>
      <c r="H27" s="284">
        <v>343</v>
      </c>
      <c r="I27" s="285">
        <v>284</v>
      </c>
      <c r="J27" s="285">
        <v>834</v>
      </c>
      <c r="K27" s="285">
        <v>216</v>
      </c>
      <c r="L27" s="286">
        <v>411</v>
      </c>
      <c r="M27" s="135">
        <v>38</v>
      </c>
      <c r="N27" s="136">
        <v>33</v>
      </c>
      <c r="O27" s="133">
        <v>30</v>
      </c>
      <c r="P27" s="133">
        <v>41</v>
      </c>
      <c r="Q27" s="284">
        <v>118</v>
      </c>
      <c r="R27" s="287">
        <v>38</v>
      </c>
      <c r="S27" s="133">
        <v>52</v>
      </c>
      <c r="T27" s="285">
        <v>63</v>
      </c>
      <c r="U27" s="286">
        <v>93</v>
      </c>
      <c r="V27" s="284">
        <v>70</v>
      </c>
      <c r="W27" s="287">
        <v>206</v>
      </c>
      <c r="X27" s="133">
        <v>99</v>
      </c>
      <c r="Y27" s="133">
        <v>47</v>
      </c>
      <c r="Z27" s="134">
        <v>229</v>
      </c>
      <c r="AA27" s="284">
        <v>264</v>
      </c>
      <c r="AB27" s="287">
        <v>74</v>
      </c>
      <c r="AC27" s="133">
        <v>480</v>
      </c>
      <c r="AD27" s="285">
        <v>163</v>
      </c>
      <c r="AE27" s="286">
        <v>175</v>
      </c>
      <c r="AF27" s="284">
        <v>381</v>
      </c>
      <c r="AG27" s="287">
        <v>333</v>
      </c>
      <c r="AH27" s="285">
        <v>865</v>
      </c>
      <c r="AI27" s="285">
        <v>241</v>
      </c>
      <c r="AJ27" s="286">
        <v>473</v>
      </c>
    </row>
    <row r="28" spans="1:36" ht="14.15" customHeight="1" x14ac:dyDescent="0.3">
      <c r="A28" s="138" t="s">
        <v>22</v>
      </c>
      <c r="B28" s="281">
        <v>45291</v>
      </c>
      <c r="C28" s="284">
        <v>73</v>
      </c>
      <c r="D28" s="285">
        <v>132</v>
      </c>
      <c r="E28" s="133">
        <v>285</v>
      </c>
      <c r="F28" s="133">
        <v>49</v>
      </c>
      <c r="G28" s="134">
        <v>156</v>
      </c>
      <c r="H28" s="284">
        <v>241</v>
      </c>
      <c r="I28" s="285">
        <v>309</v>
      </c>
      <c r="J28" s="285">
        <v>1318</v>
      </c>
      <c r="K28" s="285">
        <v>168</v>
      </c>
      <c r="L28" s="286">
        <v>382</v>
      </c>
      <c r="M28" s="135">
        <v>28</v>
      </c>
      <c r="N28" s="136">
        <v>24</v>
      </c>
      <c r="O28" s="133">
        <v>15</v>
      </c>
      <c r="P28" s="133">
        <v>37</v>
      </c>
      <c r="Q28" s="284">
        <v>69</v>
      </c>
      <c r="R28" s="287">
        <v>27</v>
      </c>
      <c r="S28" s="133">
        <v>82</v>
      </c>
      <c r="T28" s="285">
        <v>45</v>
      </c>
      <c r="U28" s="286">
        <v>51</v>
      </c>
      <c r="V28" s="284">
        <v>46</v>
      </c>
      <c r="W28" s="287">
        <v>211</v>
      </c>
      <c r="X28" s="133">
        <v>180</v>
      </c>
      <c r="Y28" s="133">
        <v>30</v>
      </c>
      <c r="Z28" s="134">
        <v>227</v>
      </c>
      <c r="AA28" s="284">
        <v>187</v>
      </c>
      <c r="AB28" s="287">
        <v>92</v>
      </c>
      <c r="AC28" s="133">
        <v>825</v>
      </c>
      <c r="AD28" s="285">
        <v>134</v>
      </c>
      <c r="AE28" s="286">
        <v>145</v>
      </c>
      <c r="AF28" s="284">
        <v>252</v>
      </c>
      <c r="AG28" s="287">
        <v>361</v>
      </c>
      <c r="AH28" s="285">
        <v>1394</v>
      </c>
      <c r="AI28" s="285">
        <v>182</v>
      </c>
      <c r="AJ28" s="286">
        <v>431</v>
      </c>
    </row>
    <row r="29" spans="1:36" ht="14.15" customHeight="1" x14ac:dyDescent="0.3">
      <c r="A29" s="138" t="s">
        <v>23</v>
      </c>
      <c r="B29" s="281">
        <v>45291</v>
      </c>
      <c r="C29" s="284">
        <v>104</v>
      </c>
      <c r="D29" s="285">
        <v>179</v>
      </c>
      <c r="E29" s="133">
        <v>373</v>
      </c>
      <c r="F29" s="133">
        <v>66</v>
      </c>
      <c r="G29" s="134">
        <v>217</v>
      </c>
      <c r="H29" s="284">
        <v>345</v>
      </c>
      <c r="I29" s="285">
        <v>351</v>
      </c>
      <c r="J29" s="285">
        <v>1876</v>
      </c>
      <c r="K29" s="285">
        <v>220</v>
      </c>
      <c r="L29" s="286">
        <v>476</v>
      </c>
      <c r="M29" s="135">
        <v>22</v>
      </c>
      <c r="N29" s="136">
        <v>26</v>
      </c>
      <c r="O29" s="133">
        <v>14</v>
      </c>
      <c r="P29" s="133">
        <v>34</v>
      </c>
      <c r="Q29" s="284">
        <v>127</v>
      </c>
      <c r="R29" s="287">
        <v>48</v>
      </c>
      <c r="S29" s="133">
        <v>135</v>
      </c>
      <c r="T29" s="285">
        <v>99</v>
      </c>
      <c r="U29" s="286">
        <v>76</v>
      </c>
      <c r="V29" s="284">
        <v>80</v>
      </c>
      <c r="W29" s="287">
        <v>237</v>
      </c>
      <c r="X29" s="133">
        <v>258</v>
      </c>
      <c r="Y29" s="133">
        <v>52</v>
      </c>
      <c r="Z29" s="134">
        <v>265</v>
      </c>
      <c r="AA29" s="284">
        <v>258</v>
      </c>
      <c r="AB29" s="287">
        <v>103</v>
      </c>
      <c r="AC29" s="133">
        <v>1117</v>
      </c>
      <c r="AD29" s="285">
        <v>160</v>
      </c>
      <c r="AE29" s="286">
        <v>201</v>
      </c>
      <c r="AF29" s="284">
        <v>365</v>
      </c>
      <c r="AG29" s="287">
        <v>402</v>
      </c>
      <c r="AH29" s="285">
        <v>1949</v>
      </c>
      <c r="AI29" s="285">
        <v>232</v>
      </c>
      <c r="AJ29" s="286">
        <v>535</v>
      </c>
    </row>
    <row r="30" spans="1:36" ht="14.15" customHeight="1" x14ac:dyDescent="0.3">
      <c r="A30" s="138" t="s">
        <v>24</v>
      </c>
      <c r="B30" s="281">
        <v>45291</v>
      </c>
      <c r="C30" s="284">
        <v>16</v>
      </c>
      <c r="D30" s="285">
        <v>25</v>
      </c>
      <c r="E30" s="133">
        <v>23</v>
      </c>
      <c r="F30" s="133">
        <v>10</v>
      </c>
      <c r="G30" s="134">
        <v>31</v>
      </c>
      <c r="H30" s="284">
        <v>71</v>
      </c>
      <c r="I30" s="285">
        <v>62</v>
      </c>
      <c r="J30" s="285">
        <v>191</v>
      </c>
      <c r="K30" s="285">
        <v>44</v>
      </c>
      <c r="L30" s="286">
        <v>89</v>
      </c>
      <c r="M30" s="135">
        <v>16</v>
      </c>
      <c r="N30" s="136">
        <v>3</v>
      </c>
      <c r="O30" s="133">
        <v>12</v>
      </c>
      <c r="P30" s="133">
        <v>7</v>
      </c>
      <c r="Q30" s="284">
        <v>26</v>
      </c>
      <c r="R30" s="287">
        <v>8</v>
      </c>
      <c r="S30" s="133">
        <v>10</v>
      </c>
      <c r="T30" s="285">
        <v>20</v>
      </c>
      <c r="U30" s="286">
        <v>14</v>
      </c>
      <c r="V30" s="284">
        <v>9</v>
      </c>
      <c r="W30" s="287">
        <v>41</v>
      </c>
      <c r="X30" s="133">
        <v>18</v>
      </c>
      <c r="Y30" s="133">
        <v>6</v>
      </c>
      <c r="Z30" s="134">
        <v>44</v>
      </c>
      <c r="AA30" s="284">
        <v>62</v>
      </c>
      <c r="AB30" s="287">
        <v>20</v>
      </c>
      <c r="AC30" s="133">
        <v>120</v>
      </c>
      <c r="AD30" s="285">
        <v>38</v>
      </c>
      <c r="AE30" s="286">
        <v>44</v>
      </c>
      <c r="AF30" s="284">
        <v>85</v>
      </c>
      <c r="AG30" s="287">
        <v>68</v>
      </c>
      <c r="AH30" s="285">
        <v>198</v>
      </c>
      <c r="AI30" s="285">
        <v>51</v>
      </c>
      <c r="AJ30" s="286">
        <v>102</v>
      </c>
    </row>
    <row r="31" spans="1:36" ht="14.15" customHeight="1" x14ac:dyDescent="0.3">
      <c r="A31" s="138" t="s">
        <v>25</v>
      </c>
      <c r="B31" s="281">
        <v>45291</v>
      </c>
      <c r="C31" s="284">
        <v>331</v>
      </c>
      <c r="D31" s="285">
        <v>406</v>
      </c>
      <c r="E31" s="133">
        <v>914</v>
      </c>
      <c r="F31" s="133">
        <v>198</v>
      </c>
      <c r="G31" s="134">
        <v>539</v>
      </c>
      <c r="H31" s="284">
        <v>1149</v>
      </c>
      <c r="I31" s="285">
        <v>943</v>
      </c>
      <c r="J31" s="285">
        <v>4313</v>
      </c>
      <c r="K31" s="285">
        <v>751</v>
      </c>
      <c r="L31" s="286">
        <v>1341</v>
      </c>
      <c r="M31" s="135">
        <v>136</v>
      </c>
      <c r="N31" s="136">
        <v>95</v>
      </c>
      <c r="O31" s="133">
        <v>93</v>
      </c>
      <c r="P31" s="133">
        <v>138</v>
      </c>
      <c r="Q31" s="284">
        <v>614</v>
      </c>
      <c r="R31" s="287">
        <v>198</v>
      </c>
      <c r="S31" s="133">
        <v>266</v>
      </c>
      <c r="T31" s="285">
        <v>393</v>
      </c>
      <c r="U31" s="286">
        <v>419</v>
      </c>
      <c r="V31" s="284">
        <v>204</v>
      </c>
      <c r="W31" s="287">
        <v>602</v>
      </c>
      <c r="X31" s="133">
        <v>647</v>
      </c>
      <c r="Y31" s="133">
        <v>132</v>
      </c>
      <c r="Z31" s="134">
        <v>674</v>
      </c>
      <c r="AA31" s="284">
        <v>911</v>
      </c>
      <c r="AB31" s="287">
        <v>317</v>
      </c>
      <c r="AC31" s="133">
        <v>2526</v>
      </c>
      <c r="AD31" s="285">
        <v>588</v>
      </c>
      <c r="AE31" s="286">
        <v>640</v>
      </c>
      <c r="AF31" s="284">
        <v>1242</v>
      </c>
      <c r="AG31" s="287">
        <v>1046</v>
      </c>
      <c r="AH31" s="285">
        <v>4483</v>
      </c>
      <c r="AI31" s="285">
        <v>817</v>
      </c>
      <c r="AJ31" s="286">
        <v>1471</v>
      </c>
    </row>
    <row r="32" spans="1:36" ht="14.15" customHeight="1" x14ac:dyDescent="0.3">
      <c r="A32" s="138" t="s">
        <v>26</v>
      </c>
      <c r="B32" s="281">
        <v>45291</v>
      </c>
      <c r="C32" s="284">
        <v>109</v>
      </c>
      <c r="D32" s="285">
        <v>192</v>
      </c>
      <c r="E32" s="133">
        <v>383</v>
      </c>
      <c r="F32" s="133">
        <v>73</v>
      </c>
      <c r="G32" s="134">
        <v>228</v>
      </c>
      <c r="H32" s="284">
        <v>446</v>
      </c>
      <c r="I32" s="285">
        <v>426</v>
      </c>
      <c r="J32" s="285">
        <v>1604</v>
      </c>
      <c r="K32" s="285">
        <v>311</v>
      </c>
      <c r="L32" s="286">
        <v>561</v>
      </c>
      <c r="M32" s="135">
        <v>47</v>
      </c>
      <c r="N32" s="136">
        <v>41</v>
      </c>
      <c r="O32" s="133">
        <v>29</v>
      </c>
      <c r="P32" s="133">
        <v>59</v>
      </c>
      <c r="Q32" s="284">
        <v>210</v>
      </c>
      <c r="R32" s="287">
        <v>97</v>
      </c>
      <c r="S32" s="133">
        <v>115</v>
      </c>
      <c r="T32" s="285">
        <v>161</v>
      </c>
      <c r="U32" s="286">
        <v>146</v>
      </c>
      <c r="V32" s="284">
        <v>69</v>
      </c>
      <c r="W32" s="287">
        <v>265</v>
      </c>
      <c r="X32" s="133">
        <v>192</v>
      </c>
      <c r="Y32" s="133">
        <v>56</v>
      </c>
      <c r="Z32" s="134">
        <v>278</v>
      </c>
      <c r="AA32" s="284">
        <v>362</v>
      </c>
      <c r="AB32" s="287">
        <v>155</v>
      </c>
      <c r="AC32" s="133">
        <v>1042</v>
      </c>
      <c r="AD32" s="285">
        <v>242</v>
      </c>
      <c r="AE32" s="286">
        <v>275</v>
      </c>
      <c r="AF32" s="284">
        <v>500</v>
      </c>
      <c r="AG32" s="287">
        <v>480</v>
      </c>
      <c r="AH32" s="285">
        <v>1662</v>
      </c>
      <c r="AI32" s="285">
        <v>343</v>
      </c>
      <c r="AJ32" s="286">
        <v>637</v>
      </c>
    </row>
    <row r="33" spans="1:36" ht="14.15" customHeight="1" x14ac:dyDescent="0.3">
      <c r="A33" s="138" t="s">
        <v>27</v>
      </c>
      <c r="B33" s="281">
        <v>45291</v>
      </c>
      <c r="C33" s="284">
        <v>60</v>
      </c>
      <c r="D33" s="285">
        <v>64</v>
      </c>
      <c r="E33" s="133">
        <v>138</v>
      </c>
      <c r="F33" s="133">
        <v>40</v>
      </c>
      <c r="G33" s="134">
        <v>84</v>
      </c>
      <c r="H33" s="284">
        <v>209</v>
      </c>
      <c r="I33" s="285">
        <v>155</v>
      </c>
      <c r="J33" s="285">
        <v>653</v>
      </c>
      <c r="K33" s="285">
        <v>140</v>
      </c>
      <c r="L33" s="286">
        <v>224</v>
      </c>
      <c r="M33" s="135">
        <v>36</v>
      </c>
      <c r="N33" s="136">
        <v>18</v>
      </c>
      <c r="O33" s="133">
        <v>27</v>
      </c>
      <c r="P33" s="133">
        <v>27</v>
      </c>
      <c r="Q33" s="284">
        <v>86</v>
      </c>
      <c r="R33" s="287">
        <v>17</v>
      </c>
      <c r="S33" s="133">
        <v>36</v>
      </c>
      <c r="T33" s="285">
        <v>46</v>
      </c>
      <c r="U33" s="286">
        <v>57</v>
      </c>
      <c r="V33" s="284">
        <v>30</v>
      </c>
      <c r="W33" s="287">
        <v>84</v>
      </c>
      <c r="X33" s="133">
        <v>74</v>
      </c>
      <c r="Y33" s="133">
        <v>23</v>
      </c>
      <c r="Z33" s="134">
        <v>91</v>
      </c>
      <c r="AA33" s="284">
        <v>172</v>
      </c>
      <c r="AB33" s="287">
        <v>67</v>
      </c>
      <c r="AC33" s="133">
        <v>386</v>
      </c>
      <c r="AD33" s="285">
        <v>113</v>
      </c>
      <c r="AE33" s="286">
        <v>126</v>
      </c>
      <c r="AF33" s="284">
        <v>227</v>
      </c>
      <c r="AG33" s="287">
        <v>166</v>
      </c>
      <c r="AH33" s="285">
        <v>674</v>
      </c>
      <c r="AI33" s="285">
        <v>151</v>
      </c>
      <c r="AJ33" s="286">
        <v>242</v>
      </c>
    </row>
    <row r="34" spans="1:36" ht="14.15" customHeight="1" thickBot="1" x14ac:dyDescent="0.35">
      <c r="A34" s="359" t="s">
        <v>28</v>
      </c>
      <c r="B34" s="360">
        <v>45291</v>
      </c>
      <c r="C34" s="361">
        <v>438</v>
      </c>
      <c r="D34" s="362">
        <v>797</v>
      </c>
      <c r="E34" s="363">
        <v>1898</v>
      </c>
      <c r="F34" s="363">
        <v>278</v>
      </c>
      <c r="G34" s="364">
        <v>957</v>
      </c>
      <c r="H34" s="361">
        <v>1988</v>
      </c>
      <c r="I34" s="362">
        <v>1760</v>
      </c>
      <c r="J34" s="362">
        <v>8979</v>
      </c>
      <c r="K34" s="362">
        <v>1262</v>
      </c>
      <c r="L34" s="365">
        <v>2486</v>
      </c>
      <c r="M34" s="366">
        <v>252</v>
      </c>
      <c r="N34" s="367">
        <v>168</v>
      </c>
      <c r="O34" s="363">
        <v>173</v>
      </c>
      <c r="P34" s="363">
        <v>247</v>
      </c>
      <c r="Q34" s="361">
        <v>930</v>
      </c>
      <c r="R34" s="368">
        <v>264</v>
      </c>
      <c r="S34" s="363">
        <v>418</v>
      </c>
      <c r="T34" s="362">
        <v>568</v>
      </c>
      <c r="U34" s="365">
        <v>626</v>
      </c>
      <c r="V34" s="361">
        <v>343</v>
      </c>
      <c r="W34" s="368">
        <v>1202</v>
      </c>
      <c r="X34" s="363">
        <v>1557</v>
      </c>
      <c r="Y34" s="363">
        <v>215</v>
      </c>
      <c r="Z34" s="364">
        <v>1330</v>
      </c>
      <c r="AA34" s="361">
        <v>1590</v>
      </c>
      <c r="AB34" s="368">
        <v>485</v>
      </c>
      <c r="AC34" s="363">
        <v>5447</v>
      </c>
      <c r="AD34" s="362">
        <v>983</v>
      </c>
      <c r="AE34" s="365">
        <v>1092</v>
      </c>
      <c r="AF34" s="361">
        <v>2175</v>
      </c>
      <c r="AG34" s="368">
        <v>2011</v>
      </c>
      <c r="AH34" s="362">
        <v>9281</v>
      </c>
      <c r="AI34" s="362">
        <v>1374</v>
      </c>
      <c r="AJ34" s="365">
        <v>2812</v>
      </c>
    </row>
    <row r="35" spans="1:36" ht="14.15" customHeight="1" x14ac:dyDescent="0.3"/>
    <row r="36" spans="1:36" s="216" customFormat="1" ht="14.15" hidden="1" customHeight="1" x14ac:dyDescent="0.3">
      <c r="A36" s="217" t="s">
        <v>38</v>
      </c>
      <c r="B36" s="219"/>
      <c r="C36" s="218">
        <f>SUM(C8:D8)</f>
        <v>7404</v>
      </c>
      <c r="D36" s="219"/>
      <c r="E36" s="219"/>
      <c r="F36" s="218">
        <f>SUM(F8:G8)</f>
        <v>7404</v>
      </c>
      <c r="G36" s="219"/>
      <c r="H36" s="218">
        <f>SUM(H8:I8)</f>
        <v>22707</v>
      </c>
      <c r="I36" s="219"/>
      <c r="J36" s="219"/>
      <c r="K36" s="218">
        <f>SUM(K8:L8)</f>
        <v>22707</v>
      </c>
      <c r="L36" s="219"/>
      <c r="M36" s="217">
        <f>SUM(M8:N8)</f>
        <v>2501</v>
      </c>
      <c r="N36" s="219"/>
      <c r="O36" s="217">
        <f>SUM(O8:O8)</f>
        <v>1040</v>
      </c>
      <c r="P36" s="219"/>
      <c r="Q36" s="217">
        <f>SUM(P8:R8)</f>
        <v>8988</v>
      </c>
      <c r="R36" s="219"/>
      <c r="S36" s="219"/>
      <c r="T36" s="217">
        <f>SUM(T8:U8)</f>
        <v>7527</v>
      </c>
      <c r="U36" s="219"/>
      <c r="V36" s="217">
        <f>SUM(V8:W8)</f>
        <v>8919</v>
      </c>
      <c r="W36" s="219"/>
      <c r="X36" s="219"/>
      <c r="Y36" s="217">
        <f>SUM(Y8:Z8)</f>
        <v>8919</v>
      </c>
      <c r="Z36" s="219"/>
      <c r="AA36" s="217">
        <f>SUM(AA8:AB8)</f>
        <v>13087</v>
      </c>
      <c r="AB36" s="219"/>
      <c r="AC36" s="219"/>
      <c r="AD36" s="217">
        <f>SUM(AD8:AE8)</f>
        <v>13087</v>
      </c>
      <c r="AE36" s="219"/>
      <c r="AF36" s="217">
        <f>SUM(AF8:AG8)</f>
        <v>25300</v>
      </c>
      <c r="AG36" s="219"/>
      <c r="AH36" s="219"/>
      <c r="AI36" s="217">
        <f>SUM(AI8:AJ8)</f>
        <v>25300</v>
      </c>
      <c r="AJ36" s="219"/>
    </row>
    <row r="37" spans="1:36" ht="14.15" customHeight="1" x14ac:dyDescent="0.3"/>
    <row r="38" spans="1:36" ht="14.15" customHeight="1" x14ac:dyDescent="0.3"/>
    <row r="39" spans="1:36" ht="14.15" customHeight="1" x14ac:dyDescent="0.3"/>
    <row r="40" spans="1:36" ht="14.15" customHeight="1" x14ac:dyDescent="0.3"/>
    <row r="41" spans="1:36" ht="14.15" customHeight="1" x14ac:dyDescent="0.3"/>
    <row r="42" spans="1:36" ht="14.15" customHeight="1" x14ac:dyDescent="0.3"/>
    <row r="43" spans="1:36" ht="14.15" customHeight="1" x14ac:dyDescent="0.3"/>
    <row r="44" spans="1:36" ht="14.15" customHeight="1" x14ac:dyDescent="0.3"/>
    <row r="45" spans="1:36" ht="14.15" customHeight="1" x14ac:dyDescent="0.3"/>
    <row r="46" spans="1:36" ht="14.15" customHeight="1" x14ac:dyDescent="0.3"/>
    <row r="47" spans="1:36" ht="14.15" customHeight="1" x14ac:dyDescent="0.3"/>
    <row r="48" spans="1:36" ht="14.15" customHeight="1" x14ac:dyDescent="0.3"/>
    <row r="49" ht="14.15" customHeight="1" x14ac:dyDescent="0.3"/>
    <row r="50" ht="14.15" customHeight="1" x14ac:dyDescent="0.3"/>
    <row r="51" ht="14.15" customHeight="1" x14ac:dyDescent="0.3"/>
    <row r="52" ht="14.15" customHeight="1" x14ac:dyDescent="0.3"/>
  </sheetData>
  <sheetProtection algorithmName="SHA-512" hashValue="fa8FgSZHCjRJEPh+C9wqYqaY5Pdny4l27X5xptRp9LyXNrEcVCSSWZ5DVmR86pqARg94sp69WX/4yPBz9v8f4g==" saltValue="yHYvKIzjxnkABr9TJaPCoA==" spinCount="100000" sheet="1" selectLockedCells="1" selectUnlockedCells="1"/>
  <customSheetViews>
    <customSheetView guid="{168849A9-FED9-4458-942F-290616B3A25C}" scale="60" showPageBreaks="1" showGridLines="0" printArea="1" hiddenRows="1">
      <selection activeCell="A3" sqref="A3:N3"/>
      <pageMargins left="0.70866141732283472" right="0.70866141732283472" top="1.3779527559055118" bottom="0.78740157480314965" header="0.31496062992125984" footer="0.31496062992125984"/>
      <pageSetup paperSize="8" scale="95" orientation="landscape" horizontalDpi="90" verticalDpi="90" r:id="rId1"/>
      <headerFooter>
        <oddHeader>&amp;LKennzahlen KIP / IAS&amp;R&amp;G</oddHeader>
        <oddFooter>&amp;L&amp;A&amp;R&amp;P</oddFooter>
      </headerFooter>
    </customSheetView>
  </customSheetViews>
  <mergeCells count="18">
    <mergeCell ref="A1:Q1"/>
    <mergeCell ref="A3:Q3"/>
    <mergeCell ref="A5:A7"/>
    <mergeCell ref="B5:B7"/>
    <mergeCell ref="H5:L5"/>
    <mergeCell ref="M5:P5"/>
    <mergeCell ref="C5:G5"/>
    <mergeCell ref="C6:G6"/>
    <mergeCell ref="V6:Z6"/>
    <mergeCell ref="AF6:AJ6"/>
    <mergeCell ref="AF5:AJ5"/>
    <mergeCell ref="H6:L6"/>
    <mergeCell ref="M6:P6"/>
    <mergeCell ref="Q6:U6"/>
    <mergeCell ref="Q5:U5"/>
    <mergeCell ref="V5:Z5"/>
    <mergeCell ref="AA5:AE5"/>
    <mergeCell ref="AA6:AE6"/>
  </mergeCells>
  <pageMargins left="0.70866141732283472" right="0.70866141732283472" top="1.3779527559055118" bottom="0.78740157480314965" header="0.31496062992125984" footer="0.31496062992125984"/>
  <pageSetup paperSize="8" scale="95" orientation="landscape" horizontalDpi="90" verticalDpi="90" r:id="rId2"/>
  <headerFooter>
    <oddHeader>&amp;LKennzahlen KIP / IAS&amp;R&amp;G</oddHeader>
    <oddFooter>&amp;L&amp;A&amp;R&amp;P</oddFooter>
  </headerFooter>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7"/>
  </sheetPr>
  <dimension ref="A1:AF52"/>
  <sheetViews>
    <sheetView showGridLines="0" zoomScale="70" zoomScaleNormal="70" workbookViewId="0">
      <selection activeCell="R2" sqref="R2"/>
    </sheetView>
  </sheetViews>
  <sheetFormatPr baseColWidth="10" defaultRowHeight="14" x14ac:dyDescent="0.3"/>
  <cols>
    <col min="3" max="7" width="13.08203125" customWidth="1"/>
    <col min="8" max="17" width="13.08203125" hidden="1" customWidth="1"/>
    <col min="18" max="32" width="13.08203125" customWidth="1"/>
  </cols>
  <sheetData>
    <row r="1" spans="1:32" ht="30" x14ac:dyDescent="0.3">
      <c r="A1" s="548" t="s">
        <v>180</v>
      </c>
      <c r="B1" s="548"/>
      <c r="C1" s="548"/>
      <c r="D1" s="548"/>
      <c r="E1" s="548"/>
      <c r="F1" s="548"/>
      <c r="G1" s="548"/>
      <c r="H1" s="548"/>
      <c r="I1" s="548"/>
      <c r="J1" s="548"/>
      <c r="K1" s="548"/>
      <c r="L1" s="548"/>
      <c r="M1" s="548"/>
      <c r="N1" s="548"/>
      <c r="O1" s="548"/>
      <c r="P1" s="548"/>
      <c r="Q1" s="548"/>
    </row>
    <row r="3" spans="1:32" ht="20.149999999999999" customHeight="1" x14ac:dyDescent="0.3">
      <c r="A3" s="549" t="s">
        <v>207</v>
      </c>
      <c r="B3" s="550"/>
      <c r="C3" s="550"/>
      <c r="D3" s="550"/>
      <c r="E3" s="550"/>
      <c r="F3" s="550"/>
      <c r="G3" s="550"/>
      <c r="H3" s="550"/>
      <c r="I3" s="550"/>
      <c r="J3" s="550"/>
      <c r="K3" s="550"/>
      <c r="L3" s="550"/>
      <c r="M3" s="550"/>
      <c r="N3" s="550"/>
      <c r="O3" s="550"/>
      <c r="P3" s="550"/>
      <c r="Q3" s="551"/>
      <c r="R3" s="370"/>
    </row>
    <row r="4" spans="1:32" ht="14.5" thickBot="1" x14ac:dyDescent="0.35">
      <c r="F4" s="169"/>
      <c r="K4" s="169"/>
      <c r="P4" s="169"/>
      <c r="U4" s="169"/>
      <c r="Z4" s="169"/>
      <c r="AE4" s="169"/>
    </row>
    <row r="5" spans="1:32" ht="14.5" thickBot="1" x14ac:dyDescent="0.35">
      <c r="A5" s="552" t="s">
        <v>159</v>
      </c>
      <c r="B5" s="555" t="s">
        <v>160</v>
      </c>
      <c r="C5" s="545" t="s">
        <v>154</v>
      </c>
      <c r="D5" s="546"/>
      <c r="E5" s="546"/>
      <c r="F5" s="546"/>
      <c r="G5" s="547"/>
      <c r="H5" s="545" t="s">
        <v>155</v>
      </c>
      <c r="I5" s="546"/>
      <c r="J5" s="546"/>
      <c r="K5" s="546"/>
      <c r="L5" s="547"/>
      <c r="M5" s="545" t="s">
        <v>156</v>
      </c>
      <c r="N5" s="546"/>
      <c r="O5" s="546"/>
      <c r="P5" s="546"/>
      <c r="Q5" s="547"/>
      <c r="R5" s="545" t="s">
        <v>161</v>
      </c>
      <c r="S5" s="546"/>
      <c r="T5" s="546"/>
      <c r="U5" s="546"/>
      <c r="V5" s="547"/>
      <c r="W5" s="545" t="s">
        <v>162</v>
      </c>
      <c r="X5" s="546"/>
      <c r="Y5" s="546"/>
      <c r="Z5" s="546"/>
      <c r="AA5" s="547"/>
      <c r="AB5" s="545" t="s">
        <v>163</v>
      </c>
      <c r="AC5" s="546"/>
      <c r="AD5" s="546"/>
      <c r="AE5" s="546"/>
      <c r="AF5" s="547"/>
    </row>
    <row r="6" spans="1:32" ht="59.15" customHeight="1" x14ac:dyDescent="0.3">
      <c r="A6" s="553"/>
      <c r="B6" s="556"/>
      <c r="C6" s="542" t="s">
        <v>214</v>
      </c>
      <c r="D6" s="543"/>
      <c r="E6" s="543"/>
      <c r="F6" s="543"/>
      <c r="G6" s="544"/>
      <c r="H6" s="542" t="s">
        <v>178</v>
      </c>
      <c r="I6" s="543"/>
      <c r="J6" s="543"/>
      <c r="K6" s="543"/>
      <c r="L6" s="544"/>
      <c r="M6" s="542" t="s">
        <v>206</v>
      </c>
      <c r="N6" s="543"/>
      <c r="O6" s="543"/>
      <c r="P6" s="543"/>
      <c r="Q6" s="544"/>
      <c r="R6" s="542" t="s">
        <v>243</v>
      </c>
      <c r="S6" s="543"/>
      <c r="T6" s="543"/>
      <c r="U6" s="543"/>
      <c r="V6" s="544"/>
      <c r="W6" s="542" t="s">
        <v>244</v>
      </c>
      <c r="X6" s="543"/>
      <c r="Y6" s="543"/>
      <c r="Z6" s="543"/>
      <c r="AA6" s="544"/>
      <c r="AB6" s="542" t="s">
        <v>215</v>
      </c>
      <c r="AC6" s="543"/>
      <c r="AD6" s="543"/>
      <c r="AE6" s="543"/>
      <c r="AF6" s="544"/>
    </row>
    <row r="7" spans="1:32" ht="14.15" customHeight="1" thickBot="1" x14ac:dyDescent="0.35">
      <c r="A7" s="554"/>
      <c r="B7" s="557"/>
      <c r="C7" s="174" t="s">
        <v>157</v>
      </c>
      <c r="D7" s="173" t="s">
        <v>158</v>
      </c>
      <c r="E7" s="173" t="s">
        <v>179</v>
      </c>
      <c r="F7" s="173" t="s">
        <v>119</v>
      </c>
      <c r="G7" s="173" t="s">
        <v>120</v>
      </c>
      <c r="H7" s="174" t="s">
        <v>157</v>
      </c>
      <c r="I7" s="173" t="s">
        <v>158</v>
      </c>
      <c r="J7" s="173" t="s">
        <v>179</v>
      </c>
      <c r="K7" s="173" t="s">
        <v>119</v>
      </c>
      <c r="L7" s="173" t="s">
        <v>120</v>
      </c>
      <c r="M7" s="174" t="s">
        <v>157</v>
      </c>
      <c r="N7" s="173" t="s">
        <v>158</v>
      </c>
      <c r="O7" s="173" t="s">
        <v>179</v>
      </c>
      <c r="P7" s="173" t="s">
        <v>119</v>
      </c>
      <c r="Q7" s="173" t="s">
        <v>120</v>
      </c>
      <c r="R7" s="174" t="s">
        <v>157</v>
      </c>
      <c r="S7" s="173" t="s">
        <v>158</v>
      </c>
      <c r="T7" s="173" t="s">
        <v>179</v>
      </c>
      <c r="U7" s="173" t="s">
        <v>119</v>
      </c>
      <c r="V7" s="173" t="s">
        <v>120</v>
      </c>
      <c r="W7" s="174" t="s">
        <v>157</v>
      </c>
      <c r="X7" s="173" t="s">
        <v>158</v>
      </c>
      <c r="Y7" s="173" t="s">
        <v>179</v>
      </c>
      <c r="Z7" s="173" t="s">
        <v>119</v>
      </c>
      <c r="AA7" s="173" t="s">
        <v>120</v>
      </c>
      <c r="AB7" s="174" t="s">
        <v>157</v>
      </c>
      <c r="AC7" s="173" t="s">
        <v>158</v>
      </c>
      <c r="AD7" s="173" t="s">
        <v>179</v>
      </c>
      <c r="AE7" s="173" t="s">
        <v>119</v>
      </c>
      <c r="AF7" s="357" t="s">
        <v>120</v>
      </c>
    </row>
    <row r="8" spans="1:32" ht="14.15" customHeight="1" x14ac:dyDescent="0.3">
      <c r="A8" s="176" t="s">
        <v>35</v>
      </c>
      <c r="B8" s="177">
        <v>45291</v>
      </c>
      <c r="C8" s="348">
        <v>15030</v>
      </c>
      <c r="D8" s="348">
        <v>11942</v>
      </c>
      <c r="E8" s="179">
        <v>46986</v>
      </c>
      <c r="F8" s="179">
        <v>10445</v>
      </c>
      <c r="G8" s="179">
        <v>16527</v>
      </c>
      <c r="H8" s="178"/>
      <c r="I8" s="178"/>
      <c r="J8" s="178"/>
      <c r="K8" s="178"/>
      <c r="L8" s="178"/>
      <c r="M8" s="178"/>
      <c r="N8" s="178"/>
      <c r="O8" s="178"/>
      <c r="P8" s="178"/>
      <c r="Q8" s="178"/>
      <c r="R8" s="178">
        <v>2553</v>
      </c>
      <c r="S8" s="178">
        <v>7157</v>
      </c>
      <c r="T8" s="178">
        <v>7176</v>
      </c>
      <c r="U8" s="348">
        <v>1799</v>
      </c>
      <c r="V8" s="348">
        <v>7911</v>
      </c>
      <c r="W8" s="178">
        <v>11976</v>
      </c>
      <c r="X8" s="178">
        <v>4318</v>
      </c>
      <c r="Y8" s="178">
        <v>28471</v>
      </c>
      <c r="Z8" s="348">
        <v>8169</v>
      </c>
      <c r="AA8" s="348">
        <v>8125</v>
      </c>
      <c r="AB8" s="178">
        <v>17012</v>
      </c>
      <c r="AC8" s="178">
        <v>13672</v>
      </c>
      <c r="AD8" s="178">
        <v>48765</v>
      </c>
      <c r="AE8" s="178">
        <v>11635</v>
      </c>
      <c r="AF8" s="358">
        <v>19049</v>
      </c>
    </row>
    <row r="9" spans="1:32" ht="14.15" customHeight="1" x14ac:dyDescent="0.3">
      <c r="A9" s="138" t="s">
        <v>6</v>
      </c>
      <c r="B9" s="137">
        <v>45291</v>
      </c>
      <c r="C9" s="283">
        <v>1397</v>
      </c>
      <c r="D9" s="285">
        <v>953</v>
      </c>
      <c r="E9" s="285">
        <v>3512</v>
      </c>
      <c r="F9" s="133">
        <v>868</v>
      </c>
      <c r="G9" s="134">
        <v>1482</v>
      </c>
      <c r="H9" s="132"/>
      <c r="I9" s="133"/>
      <c r="J9" s="133"/>
      <c r="K9" s="133"/>
      <c r="L9" s="172"/>
      <c r="M9" s="132"/>
      <c r="N9" s="133"/>
      <c r="O9" s="133"/>
      <c r="P9" s="133"/>
      <c r="Q9" s="134"/>
      <c r="R9" s="283">
        <v>217</v>
      </c>
      <c r="S9" s="285">
        <v>611</v>
      </c>
      <c r="T9" s="285">
        <v>525</v>
      </c>
      <c r="U9" s="285">
        <v>148</v>
      </c>
      <c r="V9" s="286">
        <v>680</v>
      </c>
      <c r="W9" s="132">
        <v>1127</v>
      </c>
      <c r="X9" s="133">
        <v>314</v>
      </c>
      <c r="Y9" s="133">
        <v>2210</v>
      </c>
      <c r="Z9" s="285">
        <v>693</v>
      </c>
      <c r="AA9" s="286">
        <v>748</v>
      </c>
      <c r="AB9" s="283">
        <v>1586</v>
      </c>
      <c r="AC9" s="285">
        <v>1113</v>
      </c>
      <c r="AD9" s="285">
        <v>3640</v>
      </c>
      <c r="AE9" s="285">
        <v>991</v>
      </c>
      <c r="AF9" s="286">
        <v>1708</v>
      </c>
    </row>
    <row r="10" spans="1:32" ht="14.15" customHeight="1" x14ac:dyDescent="0.3">
      <c r="A10" s="138" t="s">
        <v>5</v>
      </c>
      <c r="B10" s="137">
        <v>45291</v>
      </c>
      <c r="C10" s="284">
        <v>47</v>
      </c>
      <c r="D10" s="285">
        <v>29</v>
      </c>
      <c r="E10" s="285">
        <v>93</v>
      </c>
      <c r="F10" s="133">
        <v>26</v>
      </c>
      <c r="G10" s="134">
        <v>50</v>
      </c>
      <c r="H10" s="135"/>
      <c r="I10" s="133"/>
      <c r="J10" s="133"/>
      <c r="K10" s="133"/>
      <c r="L10" s="133"/>
      <c r="M10" s="135"/>
      <c r="N10" s="136"/>
      <c r="O10" s="133"/>
      <c r="P10" s="133"/>
      <c r="Q10" s="134"/>
      <c r="R10" s="284">
        <v>12</v>
      </c>
      <c r="S10" s="287">
        <v>19</v>
      </c>
      <c r="T10" s="287">
        <v>13</v>
      </c>
      <c r="U10" s="287">
        <v>5</v>
      </c>
      <c r="V10" s="286">
        <v>26</v>
      </c>
      <c r="W10" s="135">
        <v>34</v>
      </c>
      <c r="X10" s="136">
        <v>9</v>
      </c>
      <c r="Y10" s="136">
        <v>63</v>
      </c>
      <c r="Z10" s="287">
        <v>20</v>
      </c>
      <c r="AA10" s="286">
        <v>23</v>
      </c>
      <c r="AB10" s="284">
        <v>49</v>
      </c>
      <c r="AC10" s="287">
        <v>31</v>
      </c>
      <c r="AD10" s="287">
        <v>97</v>
      </c>
      <c r="AE10" s="287">
        <v>27</v>
      </c>
      <c r="AF10" s="286">
        <v>53</v>
      </c>
    </row>
    <row r="11" spans="1:32" ht="14.15" customHeight="1" x14ac:dyDescent="0.3">
      <c r="A11" s="138" t="s">
        <v>4</v>
      </c>
      <c r="B11" s="137">
        <v>45291</v>
      </c>
      <c r="C11" s="284">
        <v>121</v>
      </c>
      <c r="D11" s="285">
        <v>98</v>
      </c>
      <c r="E11" s="285">
        <v>256</v>
      </c>
      <c r="F11" s="133">
        <v>83</v>
      </c>
      <c r="G11" s="134">
        <v>136</v>
      </c>
      <c r="H11" s="135"/>
      <c r="I11" s="133"/>
      <c r="J11" s="133"/>
      <c r="K11" s="133"/>
      <c r="L11" s="133"/>
      <c r="M11" s="135"/>
      <c r="N11" s="136"/>
      <c r="O11" s="133"/>
      <c r="P11" s="133"/>
      <c r="Q11" s="134"/>
      <c r="R11" s="284">
        <v>16</v>
      </c>
      <c r="S11" s="287">
        <v>59</v>
      </c>
      <c r="T11" s="287">
        <v>34</v>
      </c>
      <c r="U11" s="287">
        <v>16</v>
      </c>
      <c r="V11" s="286">
        <v>59</v>
      </c>
      <c r="W11" s="135">
        <v>103</v>
      </c>
      <c r="X11" s="136">
        <v>35</v>
      </c>
      <c r="Y11" s="136">
        <v>153</v>
      </c>
      <c r="Z11" s="287">
        <v>65</v>
      </c>
      <c r="AA11" s="286">
        <v>73</v>
      </c>
      <c r="AB11" s="284">
        <v>138</v>
      </c>
      <c r="AC11" s="287">
        <v>106</v>
      </c>
      <c r="AD11" s="287">
        <v>276</v>
      </c>
      <c r="AE11" s="287">
        <v>89</v>
      </c>
      <c r="AF11" s="286">
        <v>155</v>
      </c>
    </row>
    <row r="12" spans="1:32" ht="14.15" customHeight="1" x14ac:dyDescent="0.3">
      <c r="A12" s="138" t="s">
        <v>7</v>
      </c>
      <c r="B12" s="137">
        <v>45291</v>
      </c>
      <c r="C12" s="284">
        <v>1885</v>
      </c>
      <c r="D12" s="285">
        <v>1484</v>
      </c>
      <c r="E12" s="285">
        <v>5612</v>
      </c>
      <c r="F12" s="133">
        <v>1318</v>
      </c>
      <c r="G12" s="134">
        <v>2051</v>
      </c>
      <c r="H12" s="135"/>
      <c r="I12" s="133"/>
      <c r="J12" s="133"/>
      <c r="K12" s="133"/>
      <c r="L12" s="133"/>
      <c r="M12" s="135"/>
      <c r="N12" s="136"/>
      <c r="O12" s="133"/>
      <c r="P12" s="133"/>
      <c r="Q12" s="134"/>
      <c r="R12" s="284">
        <v>284</v>
      </c>
      <c r="S12" s="287">
        <v>877</v>
      </c>
      <c r="T12" s="287">
        <v>864</v>
      </c>
      <c r="U12" s="287">
        <v>206</v>
      </c>
      <c r="V12" s="286">
        <v>955</v>
      </c>
      <c r="W12" s="135">
        <v>1531</v>
      </c>
      <c r="X12" s="136">
        <v>554</v>
      </c>
      <c r="Y12" s="136">
        <v>3393</v>
      </c>
      <c r="Z12" s="287">
        <v>1048</v>
      </c>
      <c r="AA12" s="286">
        <v>1037</v>
      </c>
      <c r="AB12" s="284">
        <v>2150</v>
      </c>
      <c r="AC12" s="287">
        <v>1716</v>
      </c>
      <c r="AD12" s="287">
        <v>5859</v>
      </c>
      <c r="AE12" s="287">
        <v>1483</v>
      </c>
      <c r="AF12" s="286">
        <v>2383</v>
      </c>
    </row>
    <row r="13" spans="1:32" ht="14.15" customHeight="1" x14ac:dyDescent="0.3">
      <c r="A13" s="138" t="s">
        <v>8</v>
      </c>
      <c r="B13" s="137">
        <v>45291</v>
      </c>
      <c r="C13" s="284">
        <v>359</v>
      </c>
      <c r="D13" s="285">
        <v>343</v>
      </c>
      <c r="E13" s="285">
        <v>1684</v>
      </c>
      <c r="F13" s="133">
        <v>272</v>
      </c>
      <c r="G13" s="134">
        <v>430</v>
      </c>
      <c r="H13" s="135"/>
      <c r="I13" s="136"/>
      <c r="J13" s="133"/>
      <c r="K13" s="133"/>
      <c r="L13" s="133"/>
      <c r="M13" s="135"/>
      <c r="N13" s="136"/>
      <c r="O13" s="133"/>
      <c r="P13" s="133"/>
      <c r="Q13" s="134"/>
      <c r="R13" s="284">
        <v>91</v>
      </c>
      <c r="S13" s="287">
        <v>221</v>
      </c>
      <c r="T13" s="287">
        <v>227</v>
      </c>
      <c r="U13" s="287">
        <v>61</v>
      </c>
      <c r="V13" s="286">
        <v>251</v>
      </c>
      <c r="W13" s="135">
        <v>257</v>
      </c>
      <c r="X13" s="136">
        <v>114</v>
      </c>
      <c r="Y13" s="136">
        <v>1031</v>
      </c>
      <c r="Z13" s="287">
        <v>202</v>
      </c>
      <c r="AA13" s="286">
        <v>169</v>
      </c>
      <c r="AB13" s="284">
        <v>418</v>
      </c>
      <c r="AC13" s="287">
        <v>396</v>
      </c>
      <c r="AD13" s="287">
        <v>1751</v>
      </c>
      <c r="AE13" s="287">
        <v>301</v>
      </c>
      <c r="AF13" s="286">
        <v>513</v>
      </c>
    </row>
    <row r="14" spans="1:32" ht="14.15" customHeight="1" x14ac:dyDescent="0.3">
      <c r="A14" s="138" t="s">
        <v>9</v>
      </c>
      <c r="B14" s="137">
        <v>45291</v>
      </c>
      <c r="C14" s="284">
        <v>336</v>
      </c>
      <c r="D14" s="285">
        <v>225</v>
      </c>
      <c r="E14" s="285">
        <v>1238</v>
      </c>
      <c r="F14" s="133">
        <v>241</v>
      </c>
      <c r="G14" s="134">
        <v>320</v>
      </c>
      <c r="H14" s="135"/>
      <c r="I14" s="136"/>
      <c r="J14" s="133"/>
      <c r="K14" s="133"/>
      <c r="L14" s="133"/>
      <c r="M14" s="135"/>
      <c r="N14" s="136"/>
      <c r="O14" s="133"/>
      <c r="P14" s="133"/>
      <c r="Q14" s="134"/>
      <c r="R14" s="284">
        <v>71</v>
      </c>
      <c r="S14" s="287">
        <v>117</v>
      </c>
      <c r="T14" s="287">
        <v>199</v>
      </c>
      <c r="U14" s="287">
        <v>41</v>
      </c>
      <c r="V14" s="286">
        <v>147</v>
      </c>
      <c r="W14" s="135">
        <v>246</v>
      </c>
      <c r="X14" s="136">
        <v>86</v>
      </c>
      <c r="Y14" s="133">
        <v>721</v>
      </c>
      <c r="Z14" s="285">
        <v>178</v>
      </c>
      <c r="AA14" s="286">
        <v>154</v>
      </c>
      <c r="AB14" s="284">
        <v>371</v>
      </c>
      <c r="AC14" s="287">
        <v>271</v>
      </c>
      <c r="AD14" s="285">
        <v>1278</v>
      </c>
      <c r="AE14" s="285">
        <v>262</v>
      </c>
      <c r="AF14" s="286">
        <v>380</v>
      </c>
    </row>
    <row r="15" spans="1:32" ht="14.15" customHeight="1" x14ac:dyDescent="0.3">
      <c r="A15" s="138" t="s">
        <v>10</v>
      </c>
      <c r="B15" s="137">
        <v>45291</v>
      </c>
      <c r="C15" s="284">
        <v>466</v>
      </c>
      <c r="D15" s="285">
        <v>438</v>
      </c>
      <c r="E15" s="285">
        <v>1756</v>
      </c>
      <c r="F15" s="133">
        <v>353</v>
      </c>
      <c r="G15" s="134">
        <v>551</v>
      </c>
      <c r="H15" s="135"/>
      <c r="I15" s="136"/>
      <c r="J15" s="133"/>
      <c r="K15" s="133"/>
      <c r="L15" s="133"/>
      <c r="M15" s="135"/>
      <c r="N15" s="136"/>
      <c r="O15" s="133"/>
      <c r="P15" s="133"/>
      <c r="Q15" s="134"/>
      <c r="R15" s="284">
        <v>85</v>
      </c>
      <c r="S15" s="287">
        <v>256</v>
      </c>
      <c r="T15" s="285">
        <v>310</v>
      </c>
      <c r="U15" s="285">
        <v>54</v>
      </c>
      <c r="V15" s="286">
        <v>287</v>
      </c>
      <c r="W15" s="135">
        <v>362</v>
      </c>
      <c r="X15" s="136">
        <v>161</v>
      </c>
      <c r="Y15" s="133">
        <v>1019</v>
      </c>
      <c r="Z15" s="285">
        <v>280</v>
      </c>
      <c r="AA15" s="286">
        <v>243</v>
      </c>
      <c r="AB15" s="284">
        <v>537</v>
      </c>
      <c r="AC15" s="287">
        <v>502</v>
      </c>
      <c r="AD15" s="285">
        <v>1838</v>
      </c>
      <c r="AE15" s="285">
        <v>396</v>
      </c>
      <c r="AF15" s="286">
        <v>643</v>
      </c>
    </row>
    <row r="16" spans="1:32" ht="14.15" customHeight="1" x14ac:dyDescent="0.3">
      <c r="A16" s="138" t="s">
        <v>11</v>
      </c>
      <c r="B16" s="137">
        <v>45291</v>
      </c>
      <c r="C16" s="284">
        <v>1117</v>
      </c>
      <c r="D16" s="285">
        <v>786</v>
      </c>
      <c r="E16" s="285">
        <v>3139</v>
      </c>
      <c r="F16" s="133">
        <v>810</v>
      </c>
      <c r="G16" s="134">
        <v>1093</v>
      </c>
      <c r="H16" s="135"/>
      <c r="I16" s="136"/>
      <c r="J16" s="133"/>
      <c r="K16" s="133"/>
      <c r="L16" s="133"/>
      <c r="M16" s="135"/>
      <c r="N16" s="136"/>
      <c r="O16" s="133"/>
      <c r="P16" s="133"/>
      <c r="Q16" s="134"/>
      <c r="R16" s="284">
        <v>183</v>
      </c>
      <c r="S16" s="287">
        <v>379</v>
      </c>
      <c r="T16" s="285">
        <v>415</v>
      </c>
      <c r="U16" s="285">
        <v>128</v>
      </c>
      <c r="V16" s="286">
        <v>434</v>
      </c>
      <c r="W16" s="135">
        <v>896</v>
      </c>
      <c r="X16" s="136">
        <v>362</v>
      </c>
      <c r="Y16" s="133">
        <v>1862</v>
      </c>
      <c r="Z16" s="285">
        <v>638</v>
      </c>
      <c r="AA16" s="286">
        <v>620</v>
      </c>
      <c r="AB16" s="284">
        <v>1247</v>
      </c>
      <c r="AC16" s="287">
        <v>907</v>
      </c>
      <c r="AD16" s="285">
        <v>3240</v>
      </c>
      <c r="AE16" s="285">
        <v>887</v>
      </c>
      <c r="AF16" s="286">
        <v>1267</v>
      </c>
    </row>
    <row r="17" spans="1:32" ht="14.15" customHeight="1" x14ac:dyDescent="0.3">
      <c r="A17" s="138" t="s">
        <v>3</v>
      </c>
      <c r="B17" s="137">
        <v>45291</v>
      </c>
      <c r="C17" s="284">
        <v>74</v>
      </c>
      <c r="D17" s="285">
        <v>80</v>
      </c>
      <c r="E17" s="285">
        <v>210</v>
      </c>
      <c r="F17" s="133">
        <v>53</v>
      </c>
      <c r="G17" s="134">
        <v>101</v>
      </c>
      <c r="H17" s="135"/>
      <c r="I17" s="136"/>
      <c r="J17" s="133"/>
      <c r="K17" s="133"/>
      <c r="L17" s="133"/>
      <c r="M17" s="135"/>
      <c r="N17" s="136"/>
      <c r="O17" s="133"/>
      <c r="P17" s="133"/>
      <c r="Q17" s="134"/>
      <c r="R17" s="284">
        <v>10</v>
      </c>
      <c r="S17" s="287">
        <v>47</v>
      </c>
      <c r="T17" s="285">
        <v>37</v>
      </c>
      <c r="U17" s="285">
        <v>8</v>
      </c>
      <c r="V17" s="286">
        <v>49</v>
      </c>
      <c r="W17" s="135">
        <v>61</v>
      </c>
      <c r="X17" s="136">
        <v>33</v>
      </c>
      <c r="Y17" s="133">
        <v>119</v>
      </c>
      <c r="Z17" s="285">
        <v>44</v>
      </c>
      <c r="AA17" s="286">
        <v>50</v>
      </c>
      <c r="AB17" s="284">
        <v>85</v>
      </c>
      <c r="AC17" s="287">
        <v>88</v>
      </c>
      <c r="AD17" s="285">
        <v>215</v>
      </c>
      <c r="AE17" s="285">
        <v>59</v>
      </c>
      <c r="AF17" s="286">
        <v>114</v>
      </c>
    </row>
    <row r="18" spans="1:32" ht="14.15" customHeight="1" x14ac:dyDescent="0.3">
      <c r="A18" s="138" t="s">
        <v>12</v>
      </c>
      <c r="B18" s="137">
        <v>45291</v>
      </c>
      <c r="C18" s="284">
        <v>397</v>
      </c>
      <c r="D18" s="285">
        <v>303</v>
      </c>
      <c r="E18" s="285">
        <v>896</v>
      </c>
      <c r="F18" s="133">
        <v>264</v>
      </c>
      <c r="G18" s="134">
        <v>436</v>
      </c>
      <c r="H18" s="135"/>
      <c r="I18" s="136"/>
      <c r="J18" s="133"/>
      <c r="K18" s="133"/>
      <c r="L18" s="133"/>
      <c r="M18" s="135"/>
      <c r="N18" s="136"/>
      <c r="O18" s="133"/>
      <c r="P18" s="133"/>
      <c r="Q18" s="134"/>
      <c r="R18" s="284">
        <v>67</v>
      </c>
      <c r="S18" s="287">
        <v>194</v>
      </c>
      <c r="T18" s="285">
        <v>116</v>
      </c>
      <c r="U18" s="285">
        <v>52</v>
      </c>
      <c r="V18" s="286">
        <v>209</v>
      </c>
      <c r="W18" s="135">
        <v>314</v>
      </c>
      <c r="X18" s="136">
        <v>101</v>
      </c>
      <c r="Y18" s="133">
        <v>567</v>
      </c>
      <c r="Z18" s="285">
        <v>204</v>
      </c>
      <c r="AA18" s="286">
        <v>211</v>
      </c>
      <c r="AB18" s="284">
        <v>453</v>
      </c>
      <c r="AC18" s="287">
        <v>346</v>
      </c>
      <c r="AD18" s="285">
        <v>924</v>
      </c>
      <c r="AE18" s="285">
        <v>299</v>
      </c>
      <c r="AF18" s="286">
        <v>500</v>
      </c>
    </row>
    <row r="19" spans="1:32" ht="14.15" customHeight="1" x14ac:dyDescent="0.3">
      <c r="A19" s="138" t="s">
        <v>13</v>
      </c>
      <c r="B19" s="137">
        <v>45291</v>
      </c>
      <c r="C19" s="284">
        <v>195</v>
      </c>
      <c r="D19" s="285">
        <v>106</v>
      </c>
      <c r="E19" s="285">
        <v>387</v>
      </c>
      <c r="F19" s="133">
        <v>134</v>
      </c>
      <c r="G19" s="134">
        <v>167</v>
      </c>
      <c r="H19" s="135"/>
      <c r="I19" s="136"/>
      <c r="J19" s="133"/>
      <c r="K19" s="133"/>
      <c r="L19" s="133"/>
      <c r="M19" s="135"/>
      <c r="N19" s="136"/>
      <c r="O19" s="133"/>
      <c r="P19" s="133"/>
      <c r="Q19" s="134"/>
      <c r="R19" s="284">
        <v>24</v>
      </c>
      <c r="S19" s="287">
        <v>61</v>
      </c>
      <c r="T19" s="285">
        <v>51</v>
      </c>
      <c r="U19" s="285">
        <v>10</v>
      </c>
      <c r="V19" s="286">
        <v>75</v>
      </c>
      <c r="W19" s="135">
        <v>164</v>
      </c>
      <c r="X19" s="136">
        <v>40</v>
      </c>
      <c r="Y19" s="133">
        <v>230</v>
      </c>
      <c r="Z19" s="285">
        <v>118</v>
      </c>
      <c r="AA19" s="286">
        <v>86</v>
      </c>
      <c r="AB19" s="284">
        <v>230</v>
      </c>
      <c r="AC19" s="287">
        <v>124</v>
      </c>
      <c r="AD19" s="285">
        <v>405</v>
      </c>
      <c r="AE19" s="285">
        <v>152</v>
      </c>
      <c r="AF19" s="286">
        <v>202</v>
      </c>
    </row>
    <row r="20" spans="1:32" ht="14.15" customHeight="1" x14ac:dyDescent="0.3">
      <c r="A20" s="138" t="s">
        <v>14</v>
      </c>
      <c r="B20" s="137">
        <v>45291</v>
      </c>
      <c r="C20" s="284">
        <v>823</v>
      </c>
      <c r="D20" s="285">
        <v>586</v>
      </c>
      <c r="E20" s="285">
        <v>2289</v>
      </c>
      <c r="F20" s="133">
        <v>545</v>
      </c>
      <c r="G20" s="134">
        <v>864</v>
      </c>
      <c r="H20" s="135"/>
      <c r="I20" s="136"/>
      <c r="J20" s="133"/>
      <c r="K20" s="133"/>
      <c r="L20" s="133"/>
      <c r="M20" s="135"/>
      <c r="N20" s="136"/>
      <c r="O20" s="133"/>
      <c r="P20" s="133"/>
      <c r="Q20" s="134"/>
      <c r="R20" s="284">
        <v>132</v>
      </c>
      <c r="S20" s="287">
        <v>353</v>
      </c>
      <c r="T20" s="285">
        <v>400</v>
      </c>
      <c r="U20" s="285">
        <v>98</v>
      </c>
      <c r="V20" s="286">
        <v>387</v>
      </c>
      <c r="W20" s="135">
        <v>669</v>
      </c>
      <c r="X20" s="136">
        <v>214</v>
      </c>
      <c r="Y20" s="133">
        <v>1413</v>
      </c>
      <c r="Z20" s="285">
        <v>427</v>
      </c>
      <c r="AA20" s="286">
        <v>456</v>
      </c>
      <c r="AB20" s="284">
        <v>931</v>
      </c>
      <c r="AC20" s="287">
        <v>669</v>
      </c>
      <c r="AD20" s="285">
        <v>2367</v>
      </c>
      <c r="AE20" s="285">
        <v>594</v>
      </c>
      <c r="AF20" s="286">
        <v>1006</v>
      </c>
    </row>
    <row r="21" spans="1:32" ht="14.15" customHeight="1" x14ac:dyDescent="0.3">
      <c r="A21" s="138" t="s">
        <v>15</v>
      </c>
      <c r="B21" s="137">
        <v>45291</v>
      </c>
      <c r="C21" s="284">
        <v>257</v>
      </c>
      <c r="D21" s="285">
        <v>210</v>
      </c>
      <c r="E21" s="285">
        <v>928</v>
      </c>
      <c r="F21" s="133">
        <v>212</v>
      </c>
      <c r="G21" s="134">
        <v>255</v>
      </c>
      <c r="H21" s="135"/>
      <c r="I21" s="136"/>
      <c r="J21" s="133"/>
      <c r="K21" s="133"/>
      <c r="L21" s="133"/>
      <c r="M21" s="135"/>
      <c r="N21" s="136"/>
      <c r="O21" s="133"/>
      <c r="P21" s="133"/>
      <c r="Q21" s="134"/>
      <c r="R21" s="284">
        <v>45</v>
      </c>
      <c r="S21" s="287">
        <v>109</v>
      </c>
      <c r="T21" s="285">
        <v>146</v>
      </c>
      <c r="U21" s="285">
        <v>29</v>
      </c>
      <c r="V21" s="286">
        <v>125</v>
      </c>
      <c r="W21" s="135">
        <v>204</v>
      </c>
      <c r="X21" s="136">
        <v>84</v>
      </c>
      <c r="Y21" s="133">
        <v>567</v>
      </c>
      <c r="Z21" s="285">
        <v>168</v>
      </c>
      <c r="AA21" s="286">
        <v>120</v>
      </c>
      <c r="AB21" s="284">
        <v>291</v>
      </c>
      <c r="AC21" s="287">
        <v>241</v>
      </c>
      <c r="AD21" s="285">
        <v>972</v>
      </c>
      <c r="AE21" s="285">
        <v>234</v>
      </c>
      <c r="AF21" s="286">
        <v>298</v>
      </c>
    </row>
    <row r="22" spans="1:32" ht="14.15" customHeight="1" x14ac:dyDescent="0.3">
      <c r="A22" s="138" t="s">
        <v>16</v>
      </c>
      <c r="B22" s="137">
        <v>45291</v>
      </c>
      <c r="C22" s="284">
        <v>109</v>
      </c>
      <c r="D22" s="285">
        <v>72</v>
      </c>
      <c r="E22" s="285">
        <v>208</v>
      </c>
      <c r="F22" s="133">
        <v>76</v>
      </c>
      <c r="G22" s="134">
        <v>105</v>
      </c>
      <c r="H22" s="135"/>
      <c r="I22" s="136"/>
      <c r="J22" s="133"/>
      <c r="K22" s="133"/>
      <c r="L22" s="133"/>
      <c r="M22" s="135"/>
      <c r="N22" s="136"/>
      <c r="O22" s="133"/>
      <c r="P22" s="133"/>
      <c r="Q22" s="134"/>
      <c r="R22" s="284">
        <v>19</v>
      </c>
      <c r="S22" s="287">
        <v>38</v>
      </c>
      <c r="T22" s="285">
        <v>31</v>
      </c>
      <c r="U22" s="285">
        <v>19</v>
      </c>
      <c r="V22" s="286">
        <v>38</v>
      </c>
      <c r="W22" s="135">
        <v>87</v>
      </c>
      <c r="X22" s="136">
        <v>32</v>
      </c>
      <c r="Y22" s="133">
        <v>122</v>
      </c>
      <c r="Z22" s="285">
        <v>55</v>
      </c>
      <c r="AA22" s="286">
        <v>64</v>
      </c>
      <c r="AB22" s="284">
        <v>120</v>
      </c>
      <c r="AC22" s="287">
        <v>77</v>
      </c>
      <c r="AD22" s="285">
        <v>218</v>
      </c>
      <c r="AE22" s="285">
        <v>81</v>
      </c>
      <c r="AF22" s="286">
        <v>116</v>
      </c>
    </row>
    <row r="23" spans="1:32" ht="14.15" customHeight="1" x14ac:dyDescent="0.3">
      <c r="A23" s="138" t="s">
        <v>17</v>
      </c>
      <c r="B23" s="137">
        <v>45291</v>
      </c>
      <c r="C23" s="284">
        <v>35</v>
      </c>
      <c r="D23" s="285">
        <v>42</v>
      </c>
      <c r="E23" s="285">
        <v>150</v>
      </c>
      <c r="F23" s="133">
        <v>34</v>
      </c>
      <c r="G23" s="134">
        <v>43</v>
      </c>
      <c r="H23" s="135"/>
      <c r="I23" s="136"/>
      <c r="J23" s="133"/>
      <c r="K23" s="133"/>
      <c r="L23" s="133"/>
      <c r="M23" s="135"/>
      <c r="N23" s="136"/>
      <c r="O23" s="133"/>
      <c r="P23" s="133"/>
      <c r="Q23" s="134"/>
      <c r="R23" s="284">
        <v>4</v>
      </c>
      <c r="S23" s="287">
        <v>21</v>
      </c>
      <c r="T23" s="285">
        <v>21</v>
      </c>
      <c r="U23" s="285">
        <v>8</v>
      </c>
      <c r="V23" s="286">
        <v>17</v>
      </c>
      <c r="W23" s="135">
        <v>29</v>
      </c>
      <c r="X23" s="136">
        <v>20</v>
      </c>
      <c r="Y23" s="133">
        <v>98</v>
      </c>
      <c r="Z23" s="285">
        <v>25</v>
      </c>
      <c r="AA23" s="286">
        <v>24</v>
      </c>
      <c r="AB23" s="284">
        <v>38</v>
      </c>
      <c r="AC23" s="287">
        <v>42</v>
      </c>
      <c r="AD23" s="285">
        <v>154</v>
      </c>
      <c r="AE23" s="285">
        <v>35</v>
      </c>
      <c r="AF23" s="286">
        <v>45</v>
      </c>
    </row>
    <row r="24" spans="1:32" ht="14.15" customHeight="1" x14ac:dyDescent="0.3">
      <c r="A24" s="138" t="s">
        <v>18</v>
      </c>
      <c r="B24" s="137">
        <v>45291</v>
      </c>
      <c r="C24" s="284">
        <v>814</v>
      </c>
      <c r="D24" s="285">
        <v>743</v>
      </c>
      <c r="E24" s="285">
        <v>2872</v>
      </c>
      <c r="F24" s="133">
        <v>554</v>
      </c>
      <c r="G24" s="134">
        <v>1003</v>
      </c>
      <c r="H24" s="135"/>
      <c r="I24" s="136"/>
      <c r="J24" s="133"/>
      <c r="K24" s="133"/>
      <c r="L24" s="133"/>
      <c r="M24" s="135"/>
      <c r="N24" s="136"/>
      <c r="O24" s="133"/>
      <c r="P24" s="133"/>
      <c r="Q24" s="134"/>
      <c r="R24" s="284">
        <v>133</v>
      </c>
      <c r="S24" s="287">
        <v>452</v>
      </c>
      <c r="T24" s="285">
        <v>474</v>
      </c>
      <c r="U24" s="285">
        <v>89</v>
      </c>
      <c r="V24" s="286">
        <v>496</v>
      </c>
      <c r="W24" s="135">
        <v>657</v>
      </c>
      <c r="X24" s="136">
        <v>268</v>
      </c>
      <c r="Y24" s="133">
        <v>1737</v>
      </c>
      <c r="Z24" s="285">
        <v>438</v>
      </c>
      <c r="AA24" s="286">
        <v>487</v>
      </c>
      <c r="AB24" s="284">
        <v>915</v>
      </c>
      <c r="AC24" s="287">
        <v>845</v>
      </c>
      <c r="AD24" s="285">
        <v>2973</v>
      </c>
      <c r="AE24" s="285">
        <v>623</v>
      </c>
      <c r="AF24" s="286">
        <v>1137</v>
      </c>
    </row>
    <row r="25" spans="1:32" ht="14.15" customHeight="1" x14ac:dyDescent="0.3">
      <c r="A25" s="138" t="s">
        <v>19</v>
      </c>
      <c r="B25" s="137">
        <v>45291</v>
      </c>
      <c r="C25" s="284">
        <v>212</v>
      </c>
      <c r="D25" s="285">
        <v>158</v>
      </c>
      <c r="E25" s="285">
        <v>495</v>
      </c>
      <c r="F25" s="133">
        <v>150</v>
      </c>
      <c r="G25" s="134">
        <v>220</v>
      </c>
      <c r="H25" s="135"/>
      <c r="I25" s="136"/>
      <c r="J25" s="133"/>
      <c r="K25" s="133"/>
      <c r="L25" s="133"/>
      <c r="M25" s="135"/>
      <c r="N25" s="136"/>
      <c r="O25" s="133"/>
      <c r="P25" s="133"/>
      <c r="Q25" s="134"/>
      <c r="R25" s="284">
        <v>45</v>
      </c>
      <c r="S25" s="287">
        <v>95</v>
      </c>
      <c r="T25" s="285">
        <v>58</v>
      </c>
      <c r="U25" s="285">
        <v>31</v>
      </c>
      <c r="V25" s="286">
        <v>109</v>
      </c>
      <c r="W25" s="135">
        <v>158</v>
      </c>
      <c r="X25" s="136">
        <v>54</v>
      </c>
      <c r="Y25" s="133">
        <v>312</v>
      </c>
      <c r="Z25" s="285">
        <v>109</v>
      </c>
      <c r="AA25" s="286">
        <v>103</v>
      </c>
      <c r="AB25" s="284">
        <v>232</v>
      </c>
      <c r="AC25" s="287">
        <v>175</v>
      </c>
      <c r="AD25" s="285">
        <v>508</v>
      </c>
      <c r="AE25" s="285">
        <v>161</v>
      </c>
      <c r="AF25" s="286">
        <v>246</v>
      </c>
    </row>
    <row r="26" spans="1:32" ht="14.15" customHeight="1" x14ac:dyDescent="0.3">
      <c r="A26" s="138" t="s">
        <v>20</v>
      </c>
      <c r="B26" s="137">
        <v>45291</v>
      </c>
      <c r="C26" s="284">
        <v>516</v>
      </c>
      <c r="D26" s="285">
        <v>355</v>
      </c>
      <c r="E26" s="285">
        <v>1490</v>
      </c>
      <c r="F26" s="133">
        <v>348</v>
      </c>
      <c r="G26" s="134">
        <v>523</v>
      </c>
      <c r="H26" s="135"/>
      <c r="I26" s="136"/>
      <c r="J26" s="133"/>
      <c r="K26" s="133"/>
      <c r="L26" s="133"/>
      <c r="M26" s="135"/>
      <c r="N26" s="136"/>
      <c r="O26" s="133"/>
      <c r="P26" s="133"/>
      <c r="Q26" s="134"/>
      <c r="R26" s="284">
        <v>97</v>
      </c>
      <c r="S26" s="287">
        <v>233</v>
      </c>
      <c r="T26" s="285">
        <v>229</v>
      </c>
      <c r="U26" s="285">
        <v>74</v>
      </c>
      <c r="V26" s="286">
        <v>256</v>
      </c>
      <c r="W26" s="135">
        <v>397</v>
      </c>
      <c r="X26" s="136">
        <v>115</v>
      </c>
      <c r="Y26" s="133">
        <v>910</v>
      </c>
      <c r="Z26" s="285">
        <v>262</v>
      </c>
      <c r="AA26" s="286">
        <v>250</v>
      </c>
      <c r="AB26" s="284">
        <v>595</v>
      </c>
      <c r="AC26" s="287">
        <v>411</v>
      </c>
      <c r="AD26" s="285">
        <v>1541</v>
      </c>
      <c r="AE26" s="285">
        <v>397</v>
      </c>
      <c r="AF26" s="286">
        <v>609</v>
      </c>
    </row>
    <row r="27" spans="1:32" ht="14.15" customHeight="1" x14ac:dyDescent="0.3">
      <c r="A27" s="138" t="s">
        <v>21</v>
      </c>
      <c r="B27" s="137">
        <v>45291</v>
      </c>
      <c r="C27" s="284">
        <v>396</v>
      </c>
      <c r="D27" s="285">
        <v>319</v>
      </c>
      <c r="E27" s="285">
        <v>834</v>
      </c>
      <c r="F27" s="133">
        <v>268</v>
      </c>
      <c r="G27" s="134">
        <v>447</v>
      </c>
      <c r="H27" s="135"/>
      <c r="I27" s="136"/>
      <c r="J27" s="133"/>
      <c r="K27" s="133"/>
      <c r="L27" s="133"/>
      <c r="M27" s="135"/>
      <c r="N27" s="136"/>
      <c r="O27" s="133"/>
      <c r="P27" s="133"/>
      <c r="Q27" s="134"/>
      <c r="R27" s="284">
        <v>87</v>
      </c>
      <c r="S27" s="287">
        <v>217</v>
      </c>
      <c r="T27" s="285">
        <v>99</v>
      </c>
      <c r="U27" s="285">
        <v>60</v>
      </c>
      <c r="V27" s="286">
        <v>244</v>
      </c>
      <c r="W27" s="135">
        <v>299</v>
      </c>
      <c r="X27" s="136">
        <v>96</v>
      </c>
      <c r="Y27" s="133">
        <v>480</v>
      </c>
      <c r="Z27" s="285">
        <v>200</v>
      </c>
      <c r="AA27" s="286">
        <v>195</v>
      </c>
      <c r="AB27" s="284">
        <v>458</v>
      </c>
      <c r="AC27" s="287">
        <v>374</v>
      </c>
      <c r="AD27" s="285">
        <v>865</v>
      </c>
      <c r="AE27" s="285">
        <v>310</v>
      </c>
      <c r="AF27" s="286">
        <v>522</v>
      </c>
    </row>
    <row r="28" spans="1:32" ht="14.15" customHeight="1" x14ac:dyDescent="0.3">
      <c r="A28" s="138" t="s">
        <v>22</v>
      </c>
      <c r="B28" s="137">
        <v>45291</v>
      </c>
      <c r="C28" s="284">
        <v>279</v>
      </c>
      <c r="D28" s="285">
        <v>331</v>
      </c>
      <c r="E28" s="285">
        <v>1318</v>
      </c>
      <c r="F28" s="133">
        <v>191</v>
      </c>
      <c r="G28" s="134">
        <v>419</v>
      </c>
      <c r="H28" s="135"/>
      <c r="I28" s="136"/>
      <c r="J28" s="133"/>
      <c r="K28" s="133"/>
      <c r="L28" s="133"/>
      <c r="M28" s="135"/>
      <c r="N28" s="136"/>
      <c r="O28" s="133"/>
      <c r="P28" s="133"/>
      <c r="Q28" s="134"/>
      <c r="R28" s="284">
        <v>52</v>
      </c>
      <c r="S28" s="287">
        <v>220</v>
      </c>
      <c r="T28" s="285">
        <v>180</v>
      </c>
      <c r="U28" s="285">
        <v>35</v>
      </c>
      <c r="V28" s="286">
        <v>237</v>
      </c>
      <c r="W28" s="135">
        <v>214</v>
      </c>
      <c r="X28" s="136">
        <v>104</v>
      </c>
      <c r="Y28" s="133">
        <v>825</v>
      </c>
      <c r="Z28" s="285">
        <v>150</v>
      </c>
      <c r="AA28" s="286">
        <v>168</v>
      </c>
      <c r="AB28" s="284">
        <v>299</v>
      </c>
      <c r="AC28" s="287">
        <v>386</v>
      </c>
      <c r="AD28" s="285">
        <v>1394</v>
      </c>
      <c r="AE28" s="285">
        <v>211</v>
      </c>
      <c r="AF28" s="286">
        <v>474</v>
      </c>
    </row>
    <row r="29" spans="1:32" ht="14.15" customHeight="1" x14ac:dyDescent="0.3">
      <c r="A29" s="138" t="s">
        <v>23</v>
      </c>
      <c r="B29" s="137">
        <v>45291</v>
      </c>
      <c r="C29" s="284">
        <v>432</v>
      </c>
      <c r="D29" s="285">
        <v>414</v>
      </c>
      <c r="E29" s="285">
        <v>1876</v>
      </c>
      <c r="F29" s="133">
        <v>306</v>
      </c>
      <c r="G29" s="134">
        <v>540</v>
      </c>
      <c r="H29" s="135"/>
      <c r="I29" s="136"/>
      <c r="J29" s="133"/>
      <c r="K29" s="133"/>
      <c r="L29" s="133"/>
      <c r="M29" s="135"/>
      <c r="N29" s="136"/>
      <c r="O29" s="133"/>
      <c r="P29" s="133"/>
      <c r="Q29" s="134"/>
      <c r="R29" s="284">
        <v>94</v>
      </c>
      <c r="S29" s="287">
        <v>249</v>
      </c>
      <c r="T29" s="285">
        <v>258</v>
      </c>
      <c r="U29" s="285">
        <v>60</v>
      </c>
      <c r="V29" s="286">
        <v>283</v>
      </c>
      <c r="W29" s="135">
        <v>329</v>
      </c>
      <c r="X29" s="136">
        <v>148</v>
      </c>
      <c r="Y29" s="133">
        <v>1117</v>
      </c>
      <c r="Z29" s="285">
        <v>234</v>
      </c>
      <c r="AA29" s="286">
        <v>243</v>
      </c>
      <c r="AB29" s="284">
        <v>487</v>
      </c>
      <c r="AC29" s="287">
        <v>475</v>
      </c>
      <c r="AD29" s="285">
        <v>1949</v>
      </c>
      <c r="AE29" s="285">
        <v>338</v>
      </c>
      <c r="AF29" s="286">
        <v>624</v>
      </c>
    </row>
    <row r="30" spans="1:32" ht="14.15" customHeight="1" x14ac:dyDescent="0.3">
      <c r="A30" s="138" t="s">
        <v>24</v>
      </c>
      <c r="B30" s="137">
        <v>45291</v>
      </c>
      <c r="C30" s="284">
        <v>81</v>
      </c>
      <c r="D30" s="285">
        <v>71</v>
      </c>
      <c r="E30" s="285">
        <v>191</v>
      </c>
      <c r="F30" s="133">
        <v>51</v>
      </c>
      <c r="G30" s="134">
        <v>101</v>
      </c>
      <c r="H30" s="135"/>
      <c r="I30" s="136"/>
      <c r="J30" s="133"/>
      <c r="K30" s="133"/>
      <c r="L30" s="133"/>
      <c r="M30" s="135"/>
      <c r="N30" s="136"/>
      <c r="O30" s="133"/>
      <c r="P30" s="133"/>
      <c r="Q30" s="134"/>
      <c r="R30" s="284">
        <v>10</v>
      </c>
      <c r="S30" s="287">
        <v>47</v>
      </c>
      <c r="T30" s="285">
        <v>18</v>
      </c>
      <c r="U30" s="285">
        <v>9</v>
      </c>
      <c r="V30" s="286">
        <v>48</v>
      </c>
      <c r="W30" s="135">
        <v>71</v>
      </c>
      <c r="X30" s="136">
        <v>23</v>
      </c>
      <c r="Y30" s="133">
        <v>120</v>
      </c>
      <c r="Z30" s="285">
        <v>42</v>
      </c>
      <c r="AA30" s="286">
        <v>52</v>
      </c>
      <c r="AB30" s="284">
        <v>97</v>
      </c>
      <c r="AC30" s="287">
        <v>77</v>
      </c>
      <c r="AD30" s="285">
        <v>198</v>
      </c>
      <c r="AE30" s="285">
        <v>60</v>
      </c>
      <c r="AF30" s="286">
        <v>114</v>
      </c>
    </row>
    <row r="31" spans="1:32" ht="14.15" customHeight="1" x14ac:dyDescent="0.3">
      <c r="A31" s="138" t="s">
        <v>25</v>
      </c>
      <c r="B31" s="137">
        <v>45291</v>
      </c>
      <c r="C31" s="284">
        <v>1466</v>
      </c>
      <c r="D31" s="285">
        <v>1108</v>
      </c>
      <c r="E31" s="285">
        <v>4313</v>
      </c>
      <c r="F31" s="133">
        <v>1057</v>
      </c>
      <c r="G31" s="134">
        <v>1517</v>
      </c>
      <c r="H31" s="135"/>
      <c r="I31" s="136"/>
      <c r="J31" s="133"/>
      <c r="K31" s="133"/>
      <c r="L31" s="133"/>
      <c r="M31" s="135"/>
      <c r="N31" s="136"/>
      <c r="O31" s="133"/>
      <c r="P31" s="133"/>
      <c r="Q31" s="134"/>
      <c r="R31" s="284">
        <v>250</v>
      </c>
      <c r="S31" s="287">
        <v>643</v>
      </c>
      <c r="T31" s="285">
        <v>647</v>
      </c>
      <c r="U31" s="285">
        <v>187</v>
      </c>
      <c r="V31" s="286">
        <v>706</v>
      </c>
      <c r="W31" s="135">
        <v>1178</v>
      </c>
      <c r="X31" s="136">
        <v>427</v>
      </c>
      <c r="Y31" s="133">
        <v>2526</v>
      </c>
      <c r="Z31" s="285">
        <v>829</v>
      </c>
      <c r="AA31" s="286">
        <v>776</v>
      </c>
      <c r="AB31" s="284">
        <v>1666</v>
      </c>
      <c r="AC31" s="287">
        <v>1235</v>
      </c>
      <c r="AD31" s="285">
        <v>4483</v>
      </c>
      <c r="AE31" s="285">
        <v>1182</v>
      </c>
      <c r="AF31" s="286">
        <v>1719</v>
      </c>
    </row>
    <row r="32" spans="1:32" ht="14.15" customHeight="1" x14ac:dyDescent="0.3">
      <c r="A32" s="138" t="s">
        <v>26</v>
      </c>
      <c r="B32" s="137">
        <v>45291</v>
      </c>
      <c r="C32" s="284">
        <v>543</v>
      </c>
      <c r="D32" s="285">
        <v>515</v>
      </c>
      <c r="E32" s="285">
        <v>1604</v>
      </c>
      <c r="F32" s="133">
        <v>420</v>
      </c>
      <c r="G32" s="134">
        <v>638</v>
      </c>
      <c r="H32" s="135"/>
      <c r="I32" s="136"/>
      <c r="J32" s="133"/>
      <c r="K32" s="133"/>
      <c r="L32" s="133"/>
      <c r="M32" s="135"/>
      <c r="N32" s="136"/>
      <c r="O32" s="133"/>
      <c r="P32" s="133"/>
      <c r="Q32" s="134"/>
      <c r="R32" s="284">
        <v>76</v>
      </c>
      <c r="S32" s="287">
        <v>280</v>
      </c>
      <c r="T32" s="285">
        <v>192</v>
      </c>
      <c r="U32" s="285">
        <v>73</v>
      </c>
      <c r="V32" s="286">
        <v>283</v>
      </c>
      <c r="W32" s="135">
        <v>447</v>
      </c>
      <c r="X32" s="136">
        <v>216</v>
      </c>
      <c r="Y32" s="133">
        <v>1042</v>
      </c>
      <c r="Z32" s="285">
        <v>324</v>
      </c>
      <c r="AA32" s="286">
        <v>339</v>
      </c>
      <c r="AB32" s="284">
        <v>617</v>
      </c>
      <c r="AC32" s="287">
        <v>590</v>
      </c>
      <c r="AD32" s="285">
        <v>1662</v>
      </c>
      <c r="AE32" s="285">
        <v>457</v>
      </c>
      <c r="AF32" s="286">
        <v>750</v>
      </c>
    </row>
    <row r="33" spans="1:32" ht="14.15" customHeight="1" x14ac:dyDescent="0.3">
      <c r="A33" s="138" t="s">
        <v>27</v>
      </c>
      <c r="B33" s="137">
        <v>45291</v>
      </c>
      <c r="C33" s="284">
        <v>250</v>
      </c>
      <c r="D33" s="285">
        <v>165</v>
      </c>
      <c r="E33" s="285">
        <v>653</v>
      </c>
      <c r="F33" s="133">
        <v>175</v>
      </c>
      <c r="G33" s="134">
        <v>240</v>
      </c>
      <c r="H33" s="135"/>
      <c r="I33" s="136"/>
      <c r="J33" s="133"/>
      <c r="K33" s="133"/>
      <c r="L33" s="133"/>
      <c r="M33" s="135"/>
      <c r="N33" s="136"/>
      <c r="O33" s="133"/>
      <c r="P33" s="133"/>
      <c r="Q33" s="134"/>
      <c r="R33" s="284">
        <v>37</v>
      </c>
      <c r="S33" s="287">
        <v>85</v>
      </c>
      <c r="T33" s="285">
        <v>74</v>
      </c>
      <c r="U33" s="285">
        <v>26</v>
      </c>
      <c r="V33" s="286">
        <v>96</v>
      </c>
      <c r="W33" s="135">
        <v>206</v>
      </c>
      <c r="X33" s="136">
        <v>76</v>
      </c>
      <c r="Y33" s="133">
        <v>386</v>
      </c>
      <c r="Z33" s="285">
        <v>145</v>
      </c>
      <c r="AA33" s="286">
        <v>137</v>
      </c>
      <c r="AB33" s="284">
        <v>282</v>
      </c>
      <c r="AC33" s="287">
        <v>177</v>
      </c>
      <c r="AD33" s="285">
        <v>674</v>
      </c>
      <c r="AE33" s="285">
        <v>192</v>
      </c>
      <c r="AF33" s="286">
        <v>267</v>
      </c>
    </row>
    <row r="34" spans="1:32" ht="14.15" customHeight="1" thickBot="1" x14ac:dyDescent="0.35">
      <c r="A34" s="359" t="s">
        <v>28</v>
      </c>
      <c r="B34" s="369">
        <v>45291</v>
      </c>
      <c r="C34" s="361">
        <v>2423</v>
      </c>
      <c r="D34" s="362">
        <v>2008</v>
      </c>
      <c r="E34" s="362">
        <v>8979</v>
      </c>
      <c r="F34" s="363">
        <v>1636</v>
      </c>
      <c r="G34" s="364">
        <v>2795</v>
      </c>
      <c r="H34" s="366"/>
      <c r="I34" s="367"/>
      <c r="J34" s="363"/>
      <c r="K34" s="363"/>
      <c r="L34" s="363"/>
      <c r="M34" s="366"/>
      <c r="N34" s="367"/>
      <c r="O34" s="363"/>
      <c r="P34" s="363"/>
      <c r="Q34" s="364"/>
      <c r="R34" s="361">
        <v>412</v>
      </c>
      <c r="S34" s="368">
        <v>1274</v>
      </c>
      <c r="T34" s="362">
        <v>1557</v>
      </c>
      <c r="U34" s="362">
        <v>272</v>
      </c>
      <c r="V34" s="365">
        <v>1414</v>
      </c>
      <c r="W34" s="366">
        <v>1936</v>
      </c>
      <c r="X34" s="367">
        <v>632</v>
      </c>
      <c r="Y34" s="363">
        <v>5447</v>
      </c>
      <c r="Z34" s="362">
        <v>1271</v>
      </c>
      <c r="AA34" s="365">
        <v>1297</v>
      </c>
      <c r="AB34" s="361">
        <v>2720</v>
      </c>
      <c r="AC34" s="368">
        <v>2298</v>
      </c>
      <c r="AD34" s="362">
        <v>9281</v>
      </c>
      <c r="AE34" s="362">
        <v>1814</v>
      </c>
      <c r="AF34" s="365">
        <v>3204</v>
      </c>
    </row>
    <row r="35" spans="1:32" ht="14.15" customHeight="1" x14ac:dyDescent="0.3">
      <c r="AB35" s="170"/>
      <c r="AE35" s="170"/>
    </row>
    <row r="36" spans="1:32" s="123" customFormat="1" ht="14.15" hidden="1" customHeight="1" x14ac:dyDescent="0.3">
      <c r="A36" s="217" t="s">
        <v>38</v>
      </c>
      <c r="C36" s="217">
        <f>SUM(C8:D8)</f>
        <v>26972</v>
      </c>
      <c r="F36" s="217">
        <f>SUM(F8:G8)</f>
        <v>26972</v>
      </c>
      <c r="H36" s="217">
        <f>SUM(H8:I8)</f>
        <v>0</v>
      </c>
      <c r="K36" s="217">
        <f>SUM(K8:L8)</f>
        <v>0</v>
      </c>
      <c r="M36" s="217">
        <f>SUM(M8:N8)</f>
        <v>0</v>
      </c>
      <c r="P36" s="217">
        <f>SUM(P8:Q8)</f>
        <v>0</v>
      </c>
      <c r="R36" s="217">
        <f>SUM(R8:S8)</f>
        <v>9710</v>
      </c>
      <c r="U36" s="217">
        <f>SUM(U8:V8)</f>
        <v>9710</v>
      </c>
      <c r="W36" s="217">
        <f>SUM(W8:X8)</f>
        <v>16294</v>
      </c>
      <c r="Z36" s="217">
        <f>SUM(Z8:AA8)</f>
        <v>16294</v>
      </c>
      <c r="AB36" s="217">
        <f>SUM(AB8:AC8)</f>
        <v>30684</v>
      </c>
      <c r="AE36" s="217">
        <f>SUM(AE8:AF8)</f>
        <v>30684</v>
      </c>
    </row>
    <row r="37" spans="1:32" ht="14.15" customHeight="1" x14ac:dyDescent="0.3"/>
    <row r="38" spans="1:32" ht="14.15" customHeight="1" x14ac:dyDescent="0.3"/>
    <row r="39" spans="1:32" ht="14.15" customHeight="1" x14ac:dyDescent="0.3"/>
    <row r="40" spans="1:32" ht="14.15" customHeight="1" x14ac:dyDescent="0.3"/>
    <row r="41" spans="1:32" ht="14.15" customHeight="1" x14ac:dyDescent="0.3"/>
    <row r="42" spans="1:32" ht="14.15" customHeight="1" x14ac:dyDescent="0.3"/>
    <row r="43" spans="1:32" ht="14.15" customHeight="1" x14ac:dyDescent="0.3"/>
    <row r="44" spans="1:32" ht="14.15" customHeight="1" x14ac:dyDescent="0.3"/>
    <row r="45" spans="1:32" ht="14.15" customHeight="1" x14ac:dyDescent="0.3"/>
    <row r="46" spans="1:32" ht="14.15" customHeight="1" x14ac:dyDescent="0.3"/>
    <row r="47" spans="1:32" ht="14.15" customHeight="1" x14ac:dyDescent="0.3"/>
    <row r="48" spans="1:32" ht="14.15" customHeight="1" x14ac:dyDescent="0.3"/>
    <row r="49" ht="14.15" customHeight="1" x14ac:dyDescent="0.3"/>
    <row r="50" ht="14.15" customHeight="1" x14ac:dyDescent="0.3"/>
    <row r="51" ht="14.15" customHeight="1" x14ac:dyDescent="0.3"/>
    <row r="52" ht="14.15" customHeight="1" x14ac:dyDescent="0.3"/>
  </sheetData>
  <sheetProtection algorithmName="SHA-512" hashValue="zCw8RNLS9rUw4bQ378MCWpCF0Dd0DYLqCHOvrE+wKuvZnMj3EkrA04/JoKkbM7zeXr2cJIYlsLdplwHds1bjJg==" saltValue="89RGo4Jq02a4a3F7yC9phQ==" spinCount="100000" sheet="1" selectLockedCells="1" selectUnlockedCells="1"/>
  <customSheetViews>
    <customSheetView guid="{168849A9-FED9-4458-942F-290616B3A25C}" scale="60" showPageBreaks="1" showGridLines="0" printArea="1" hiddenRows="1">
      <selection activeCell="K8" sqref="K8"/>
      <pageMargins left="0.70866141732283472" right="0.70866141732283472" top="1.3779527559055118" bottom="0.78740157480314965" header="0.31496062992125984" footer="0.31496062992125984"/>
      <pageSetup paperSize="8" scale="95" fitToWidth="0" orientation="landscape" horizontalDpi="90" verticalDpi="90" r:id="rId1"/>
      <headerFooter>
        <oddHeader>&amp;LKennzahlenraster KIP / IAS&amp;R&amp;G</oddHeader>
        <oddFooter>&amp;L&amp;A&amp;R&amp;P</oddFooter>
      </headerFooter>
    </customSheetView>
  </customSheetViews>
  <mergeCells count="16">
    <mergeCell ref="A1:Q1"/>
    <mergeCell ref="A3:Q3"/>
    <mergeCell ref="W6:AA6"/>
    <mergeCell ref="AB6:AF6"/>
    <mergeCell ref="A5:A7"/>
    <mergeCell ref="B5:B7"/>
    <mergeCell ref="C5:G5"/>
    <mergeCell ref="H5:L5"/>
    <mergeCell ref="M5:Q5"/>
    <mergeCell ref="R5:V5"/>
    <mergeCell ref="W5:AA5"/>
    <mergeCell ref="AB5:AF5"/>
    <mergeCell ref="M6:Q6"/>
    <mergeCell ref="R6:V6"/>
    <mergeCell ref="C6:G6"/>
    <mergeCell ref="H6:L6"/>
  </mergeCells>
  <pageMargins left="0.70866141732283472" right="0.70866141732283472" top="1.3779527559055118" bottom="0.78740157480314965" header="0.31496062992125984" footer="0.31496062992125984"/>
  <pageSetup paperSize="8" scale="95" fitToWidth="0" orientation="landscape" horizontalDpi="90" verticalDpi="90" r:id="rId2"/>
  <headerFooter>
    <oddHeader>&amp;LKennzahlenraster KIP / IAS&amp;R&amp;G</oddHeader>
    <oddFooter>&amp;L&amp;A&amp;R&amp;P</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f:fields xmlns:f="http://schemas.fabasoft.com/folio/2007/fields">
  <f:record ref="">
    <f:field ref="objname" par="" edit="true" text="Raster Kennzahlen IAS V2"/>
    <f:field ref="objsubject" par="" edit="true" text=""/>
    <f:field ref="objcreatedby" par="" text="Steiger, Sebastian, sem-Stsb"/>
    <f:field ref="objcreatedat" par="" text="27.03.2019 11:42:10"/>
    <f:field ref="objchangedby" par="" text="Steiger, Sebastian, sem-Stsb"/>
    <f:field ref="objmodifiedat" par="" text="24.05.2019 15:22:59"/>
    <f:field ref="doc_FSCFOLIO_1_1001_FieldDocumentNumber" par="" text=""/>
    <f:field ref="doc_FSCFOLIO_1_1001_FieldSubject" par="" edit="true" text=""/>
    <f:field ref="FSCFOLIO_1_1001_FieldCurrentUser" par="" text="Tsewang Tsering"/>
    <f:field ref="CCAPRECONFIG_15_1001_Objektname" par="" edit="true" text="Raster Kennzahlen IAS V2"/>
    <f:field ref="CHPRECONFIG_1_1001_Objektname" par="" edit="true" text="Raster Kennzahlen IAS V2"/>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HPRECONFIG_1_1001_Anrede" text="Anrede"/>
    <f:field ref="CHPRECONFIG_1_1001_EMailAdresse" text="E-Mail Adresse"/>
    <f:field ref="CHPRECONFIG_1_1001_Nachname" text="Nachname"/>
    <f:field ref="CHPRECONFIG_1_1001_Ort" text="Ort"/>
    <f:field ref="CHPRECONFIG_1_1001_Postleitzahl" text="Postleitzahl"/>
    <f:field ref="CHPRECONFIG_1_1001_Strasse" text="Strasse"/>
    <f:field ref="CHPRECONFIG_1_1001_Titel" text="Titel"/>
    <f:field ref="CHPRECONFIG_1_1001_Vorname" text="Vorname"/>
  </f:display>
  <f:display par="" text="Serienbrief">
    <f:field ref="doc_FSCFOLIO_1_1001_FieldSubject" text="Betreff"/>
    <f:field ref="doc_FSCFOLIO_1_1001_FieldDocumentNumber" text="Dokument Nummer"/>
  </f:display>
</f:fields>
</file>

<file path=customXml/item2.xml>��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721797EF-4BCC-4436-8531-014FB34491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18</vt:i4>
      </vt:variant>
    </vt:vector>
  </HeadingPairs>
  <TitlesOfParts>
    <vt:vector size="33" baseType="lpstr">
      <vt:lpstr>Indice</vt:lpstr>
      <vt:lpstr>Indicatori PIC</vt:lpstr>
      <vt:lpstr>Sintesi Indicatori AIS</vt:lpstr>
      <vt:lpstr>Ind AIS N°1</vt:lpstr>
      <vt:lpstr>Ind AIS N°2</vt:lpstr>
      <vt:lpstr>Ind AIS N°3</vt:lpstr>
      <vt:lpstr>Ind AIS N°4</vt:lpstr>
      <vt:lpstr>Ind AIS N°5</vt:lpstr>
      <vt:lpstr>Ind AIS N°6</vt:lpstr>
      <vt:lpstr>Ind AIS N°7</vt:lpstr>
      <vt:lpstr>Ind AIS N°8</vt:lpstr>
      <vt:lpstr>Ind AIS N°9</vt:lpstr>
      <vt:lpstr>Ind AIS N°11a</vt:lpstr>
      <vt:lpstr>Ind AIS N°11b</vt:lpstr>
      <vt:lpstr>Ind AIS N°14</vt:lpstr>
      <vt:lpstr>bestand_alle</vt:lpstr>
      <vt:lpstr>bestand_ias</vt:lpstr>
      <vt:lpstr>'Ind AIS N°1'!Print_Area</vt:lpstr>
      <vt:lpstr>'Ind AIS N°11a'!Print_Area</vt:lpstr>
      <vt:lpstr>'Ind AIS N°11b'!Print_Area</vt:lpstr>
      <vt:lpstr>'Ind AIS N°2'!Print_Area</vt:lpstr>
      <vt:lpstr>'Ind AIS N°3'!Print_Area</vt:lpstr>
      <vt:lpstr>'Ind AIS N°4'!Print_Area</vt:lpstr>
      <vt:lpstr>'Ind AIS N°5'!Print_Area</vt:lpstr>
      <vt:lpstr>'Ind AIS N°6'!Print_Area</vt:lpstr>
      <vt:lpstr>'Ind AIS N°7'!Print_Area</vt:lpstr>
      <vt:lpstr>'Ind AIS N°8'!Print_Area</vt:lpstr>
      <vt:lpstr>'Ind AIS N°9'!Print_Area</vt:lpstr>
      <vt:lpstr>'Indicatori PIC'!Print_Area</vt:lpstr>
      <vt:lpstr>Indice!Print_Area</vt:lpstr>
      <vt:lpstr>'Pop_stat AIS Decisioni 1.5.19'!Print_Area</vt:lpstr>
      <vt:lpstr>'Pop_stat AIS Effettivo'!Print_Area</vt:lpstr>
      <vt:lpstr>'Sintesi Indicatori AIS'!Print_Area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Raster Kennzahlen IAS</dc:title>
  <dc:creator>FBFIS</dc:creator>
  <cp:lastModifiedBy>Bürgi Corina SEM</cp:lastModifiedBy>
  <cp:lastPrinted>2021-03-04T09:42:05Z</cp:lastPrinted>
  <dcterms:created xsi:type="dcterms:W3CDTF">2019-03-08T14:44:51Z</dcterms:created>
  <dcterms:modified xsi:type="dcterms:W3CDTF">2024-06-07T14:35:12Z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JPDCFG@15.1700:Recipient">
    <vt:lpwstr/>
  </property>
  <property fmtid="{D5CDD505-2E9C-101B-9397-08002B2CF9AE}" pid="3" name="FSC#EJPDCFG@15.1700:RecipientSalutation">
    <vt:lpwstr/>
  </property>
  <property fmtid="{D5CDD505-2E9C-101B-9397-08002B2CF9AE}" pid="4" name="FSC#EJPDCFG@15.1700:RecipientTitle">
    <vt:lpwstr/>
  </property>
  <property fmtid="{D5CDD505-2E9C-101B-9397-08002B2CF9AE}" pid="5" name="FSC#EJPDCFG@15.1700:RecipientFirstname">
    <vt:lpwstr/>
  </property>
  <property fmtid="{D5CDD505-2E9C-101B-9397-08002B2CF9AE}" pid="6" name="FSC#EJPDCFG@15.1700:RecipientSurname">
    <vt:lpwstr/>
  </property>
  <property fmtid="{D5CDD505-2E9C-101B-9397-08002B2CF9AE}" pid="7" name="FSC#EJPDCFG@15.1700:RecipientStreet">
    <vt:lpwstr/>
  </property>
  <property fmtid="{D5CDD505-2E9C-101B-9397-08002B2CF9AE}" pid="8" name="FSC#EJPDCFG@15.1700:RecipientPOBox">
    <vt:lpwstr/>
  </property>
  <property fmtid="{D5CDD505-2E9C-101B-9397-08002B2CF9AE}" pid="9" name="FSC#EJPDCFG@15.1700:RecipientZIPCode">
    <vt:lpwstr/>
  </property>
  <property fmtid="{D5CDD505-2E9C-101B-9397-08002B2CF9AE}" pid="10" name="FSC#EJPDCFG@15.1700:RecipientCity">
    <vt:lpwstr/>
  </property>
  <property fmtid="{D5CDD505-2E9C-101B-9397-08002B2CF9AE}" pid="11" name="FSC#EJPDCFG@15.1700:Recipientcountry">
    <vt:lpwstr/>
  </property>
  <property fmtid="{D5CDD505-2E9C-101B-9397-08002B2CF9AE}" pid="12" name="FSC#EJPDCFG@15.1700:RecipientOrgname">
    <vt:lpwstr/>
  </property>
  <property fmtid="{D5CDD505-2E9C-101B-9397-08002B2CF9AE}" pid="13" name="FSC#EJPDCFG@15.1700:RecipientEMail">
    <vt:lpwstr/>
  </property>
  <property fmtid="{D5CDD505-2E9C-101B-9397-08002B2CF9AE}" pid="14" name="FSC#EJPDCFG@15.1700:RecipientContactSalutation">
    <vt:lpwstr/>
  </property>
  <property fmtid="{D5CDD505-2E9C-101B-9397-08002B2CF9AE}" pid="15" name="FSC#EJPDCFG@15.1700:RecipientContactFirstname">
    <vt:lpwstr/>
  </property>
  <property fmtid="{D5CDD505-2E9C-101B-9397-08002B2CF9AE}" pid="16" name="FSC#EJPDCFG@15.1700:RecipientContactSurname">
    <vt:lpwstr/>
  </property>
  <property fmtid="{D5CDD505-2E9C-101B-9397-08002B2CF9AE}" pid="17" name="FSC#EJPDCFG@15.1700:RecipientDate">
    <vt:lpwstr/>
  </property>
  <property fmtid="{D5CDD505-2E9C-101B-9397-08002B2CF9AE}" pid="18" name="FSC#EJPDCFG@15.1700:SubfileTitle">
    <vt:lpwstr>Kennzahlen IAS</vt:lpwstr>
  </property>
  <property fmtid="{D5CDD505-2E9C-101B-9397-08002B2CF9AE}" pid="19" name="FSC#EJPDCFG@15.1700:SubfileSubject">
    <vt:lpwstr>Kennzahlen IAS</vt:lpwstr>
  </property>
  <property fmtid="{D5CDD505-2E9C-101B-9397-08002B2CF9AE}" pid="20" name="FSC#EJPDCFG@15.1700:SubfileDossierRef">
    <vt:lpwstr>545-00/2018/00001</vt:lpwstr>
  </property>
  <property fmtid="{D5CDD505-2E9C-101B-9397-08002B2CF9AE}" pid="21" name="FSC#EJPDCFG@15.1700:SubfileResponsibleFirstname">
    <vt:lpwstr>Sebastian</vt:lpwstr>
  </property>
  <property fmtid="{D5CDD505-2E9C-101B-9397-08002B2CF9AE}" pid="22" name="FSC#EJPDCFG@15.1700:SubfileResponsibleSurname">
    <vt:lpwstr>Steiger</vt:lpwstr>
  </property>
  <property fmtid="{D5CDD505-2E9C-101B-9397-08002B2CF9AE}" pid="23" name="FSC#EJPDCFG@15.1700:SubfileResponsibleProfession">
    <vt:lpwstr/>
  </property>
  <property fmtid="{D5CDD505-2E9C-101B-9397-08002B2CF9AE}" pid="24" name="FSC#EJPDCFG@15.1700:SubfileResponsibleInitials">
    <vt:lpwstr>sem-Stsb</vt:lpwstr>
  </property>
  <property fmtid="{D5CDD505-2E9C-101B-9397-08002B2CF9AE}" pid="25" name="FSC#EJPDCFG@15.1700:AssignmentCommentHistory">
    <vt:lpwstr/>
  </property>
  <property fmtid="{D5CDD505-2E9C-101B-9397-08002B2CF9AE}" pid="26" name="FSC#EJPDCFG@15.1700:AssignmentDefaultComment">
    <vt:lpwstr/>
  </property>
  <property fmtid="{D5CDD505-2E9C-101B-9397-08002B2CF9AE}" pid="27" name="FSC#EJPDCFG@15.1700:AssignmentRemarks">
    <vt:lpwstr/>
  </property>
  <property fmtid="{D5CDD505-2E9C-101B-9397-08002B2CF9AE}" pid="28" name="FSC#EJPDCFG@15.1700:AssignmentExternalDate">
    <vt:lpwstr/>
  </property>
  <property fmtid="{D5CDD505-2E9C-101B-9397-08002B2CF9AE}" pid="29" name="FSC#EJPDCFG@15.1700:AssignmentProcessingDeadline">
    <vt:lpwstr/>
  </property>
  <property fmtid="{D5CDD505-2E9C-101B-9397-08002B2CF9AE}" pid="30" name="FSC#EJPDCFG@15.1700:AssignmentPlacingPosition">
    <vt:lpwstr/>
  </property>
  <property fmtid="{D5CDD505-2E9C-101B-9397-08002B2CF9AE}" pid="31" name="FSC#EJPDCFG@15.1700:AssignmentResponsible">
    <vt:lpwstr/>
  </property>
  <property fmtid="{D5CDD505-2E9C-101B-9397-08002B2CF9AE}" pid="32" name="FSC#EJPDCFG@15.1700:AssignmentUsers">
    <vt:lpwstr/>
  </property>
  <property fmtid="{D5CDD505-2E9C-101B-9397-08002B2CF9AE}" pid="33" name="FSC#EJPDCFG@15.1700:AssignmentUsersDone">
    <vt:lpwstr/>
  </property>
  <property fmtid="{D5CDD505-2E9C-101B-9397-08002B2CF9AE}" pid="34" name="FSC#EJPDCFG@15.1700:SubfileClassification">
    <vt:lpwstr>Nicht klassifiziert</vt:lpwstr>
  </property>
  <property fmtid="{D5CDD505-2E9C-101B-9397-08002B2CF9AE}" pid="35" name="FSC#EJPDCFG@15.1700:Department">
    <vt:lpwstr>Direktion</vt:lpwstr>
  </property>
  <property fmtid="{D5CDD505-2E9C-101B-9397-08002B2CF9AE}" pid="36" name="FSC#EJPDCFG@15.1700:DepartmentShort">
    <vt:lpwstr>DIR</vt:lpwstr>
  </property>
  <property fmtid="{D5CDD505-2E9C-101B-9397-08002B2CF9AE}" pid="37" name="FSC#EJPDCFG@15.1700:HierarchyFirstLevel">
    <vt:lpwstr>Direktion</vt:lpwstr>
  </property>
  <property fmtid="{D5CDD505-2E9C-101B-9397-08002B2CF9AE}" pid="38" name="FSC#EJPDCFG@15.1700:HierarchyFirstLevelShort">
    <vt:lpwstr>DIR</vt:lpwstr>
  </property>
  <property fmtid="{D5CDD505-2E9C-101B-9397-08002B2CF9AE}" pid="39" name="FSC#EJPDCFG@15.1700:HierarchySecondLevel">
    <vt:lpwstr>Direktionsbereich Zuwanderung und Integration</vt:lpwstr>
  </property>
  <property fmtid="{D5CDD505-2E9C-101B-9397-08002B2CF9AE}" pid="40" name="FSC#EJPDCFG@15.1700:HierarchyThirdLevel">
    <vt:lpwstr>Abteilung Integration</vt:lpwstr>
  </property>
  <property fmtid="{D5CDD505-2E9C-101B-9397-08002B2CF9AE}" pid="41" name="FSC#EJPDCFG@15.1700:HierarchyFourthLevel">
    <vt:lpwstr>Sektion Integrationsförderung</vt:lpwstr>
  </property>
  <property fmtid="{D5CDD505-2E9C-101B-9397-08002B2CF9AE}" pid="42" name="FSC#EJPDCFG@15.1700:HierarchyFifthLevel">
    <vt:lpwstr/>
  </property>
  <property fmtid="{D5CDD505-2E9C-101B-9397-08002B2CF9AE}" pid="43" name="FSC#EJPDCFG@15.1700:ObjaddressContentObject">
    <vt:lpwstr>COO.2180.101.5.519576</vt:lpwstr>
  </property>
  <property fmtid="{D5CDD505-2E9C-101B-9397-08002B2CF9AE}" pid="44" name="FSC#EJPDCFG@15.1700:SubfileResponsibleSalutation">
    <vt:lpwstr/>
  </property>
  <property fmtid="{D5CDD505-2E9C-101B-9397-08002B2CF9AE}" pid="45" name="FSC#EJPDCFG@15.1700:SubfileResponsibleTelOffice">
    <vt:lpwstr>+41 58 467 64 72</vt:lpwstr>
  </property>
  <property fmtid="{D5CDD505-2E9C-101B-9397-08002B2CF9AE}" pid="46" name="FSC#EJPDCFG@15.1700:SubfileResponsibleTelFax">
    <vt:lpwstr>+41 58 462 78 32</vt:lpwstr>
  </property>
  <property fmtid="{D5CDD505-2E9C-101B-9397-08002B2CF9AE}" pid="47" name="FSC#EJPDCFG@15.1700:SubfileResponsibleEmail">
    <vt:lpwstr>sebastian.steiger@sem.admin.ch</vt:lpwstr>
  </property>
  <property fmtid="{D5CDD505-2E9C-101B-9397-08002B2CF9AE}" pid="48" name="FSC#EJPDCFG@15.1700:SubfileResponsibleUrl">
    <vt:lpwstr>http://www.sem.admin.ch</vt:lpwstr>
  </property>
  <property fmtid="{D5CDD505-2E9C-101B-9397-08002B2CF9AE}" pid="49" name="FSC#EJPDCFG@15.1700:SubfileResponsibleAddress">
    <vt:lpwstr>Quellenweg 9, 3003 Bern-Wabern</vt:lpwstr>
  </property>
  <property fmtid="{D5CDD505-2E9C-101B-9397-08002B2CF9AE}" pid="50" name="FSC#EJPDCFG@15.1700:FileRefOU">
    <vt:lpwstr>Abteilung Integration</vt:lpwstr>
  </property>
  <property fmtid="{D5CDD505-2E9C-101B-9397-08002B2CF9AE}" pid="51" name="FSC#EJPDCFG@15.1700:OU">
    <vt:lpwstr>Abteilung Integration</vt:lpwstr>
  </property>
  <property fmtid="{D5CDD505-2E9C-101B-9397-08002B2CF9AE}" pid="52" name="FSC#EJPDCFG@15.1700:Department2">
    <vt:lpwstr>Sektion Integrationsförderung</vt:lpwstr>
  </property>
  <property fmtid="{D5CDD505-2E9C-101B-9397-08002B2CF9AE}" pid="53" name="FSC#EJPDIMPORT@100.2000:Recipient">
    <vt:lpwstr/>
  </property>
  <property fmtid="{D5CDD505-2E9C-101B-9397-08002B2CF9AE}" pid="54" name="FSC#EJPDIMPORT@100.2000:PersonnelBirthday">
    <vt:lpwstr/>
  </property>
  <property fmtid="{D5CDD505-2E9C-101B-9397-08002B2CF9AE}" pid="55" name="FSC#EJPDIMPORT@100.2000:PersonnelProfession">
    <vt:lpwstr/>
  </property>
  <property fmtid="{D5CDD505-2E9C-101B-9397-08002B2CF9AE}" pid="56" name="FSC#EJPDIMPORT@100.2000:PersonnelOrgAddress">
    <vt:lpwstr/>
  </property>
  <property fmtid="{D5CDD505-2E9C-101B-9397-08002B2CF9AE}" pid="57" name="FSC#EJPDIMPORT@100.2000:PersonnelOrgname">
    <vt:lpwstr/>
  </property>
  <property fmtid="{D5CDD505-2E9C-101B-9397-08002B2CF9AE}" pid="58" name="FSC#EJPDIMPORT@100.2000:PersonnelFirstname">
    <vt:lpwstr/>
  </property>
  <property fmtid="{D5CDD505-2E9C-101B-9397-08002B2CF9AE}" pid="59" name="FSC#EJPDIMPORT@100.2000:PersonnelSurname">
    <vt:lpwstr/>
  </property>
  <property fmtid="{D5CDD505-2E9C-101B-9397-08002B2CF9AE}" pid="60" name="FSC#EJPDIMPORT@100.2000:PersonnelAddress">
    <vt:lpwstr/>
  </property>
  <property fmtid="{D5CDD505-2E9C-101B-9397-08002B2CF9AE}" pid="61" name="FSC#COOELAK@1.1001:Subject">
    <vt:lpwstr/>
  </property>
  <property fmtid="{D5CDD505-2E9C-101B-9397-08002B2CF9AE}" pid="62" name="FSC#COOELAK@1.1001:FileReference">
    <vt:lpwstr>545-00/2018/05813</vt:lpwstr>
  </property>
  <property fmtid="{D5CDD505-2E9C-101B-9397-08002B2CF9AE}" pid="63" name="FSC#COOELAK@1.1001:FileRefYear">
    <vt:lpwstr>2018</vt:lpwstr>
  </property>
  <property fmtid="{D5CDD505-2E9C-101B-9397-08002B2CF9AE}" pid="64" name="FSC#COOELAK@1.1001:FileRefOrdinal">
    <vt:lpwstr>5813</vt:lpwstr>
  </property>
  <property fmtid="{D5CDD505-2E9C-101B-9397-08002B2CF9AE}" pid="65" name="FSC#COOELAK@1.1001:FileRefOU">
    <vt:lpwstr>AI</vt:lpwstr>
  </property>
  <property fmtid="{D5CDD505-2E9C-101B-9397-08002B2CF9AE}" pid="66" name="FSC#COOELAK@1.1001:Organization">
    <vt:lpwstr/>
  </property>
  <property fmtid="{D5CDD505-2E9C-101B-9397-08002B2CF9AE}" pid="67" name="FSC#COOELAK@1.1001:Owner">
    <vt:lpwstr>Steiger Sebastian</vt:lpwstr>
  </property>
  <property fmtid="{D5CDD505-2E9C-101B-9397-08002B2CF9AE}" pid="68" name="FSC#COOELAK@1.1001:OwnerExtension">
    <vt:lpwstr>+41 58 467 64 72</vt:lpwstr>
  </property>
  <property fmtid="{D5CDD505-2E9C-101B-9397-08002B2CF9AE}" pid="69" name="FSC#COOELAK@1.1001:OwnerFaxExtension">
    <vt:lpwstr>+41 58 462 78 32</vt:lpwstr>
  </property>
  <property fmtid="{D5CDD505-2E9C-101B-9397-08002B2CF9AE}" pid="70" name="FSC#COOELAK@1.1001:DispatchedBy">
    <vt:lpwstr/>
  </property>
  <property fmtid="{D5CDD505-2E9C-101B-9397-08002B2CF9AE}" pid="71" name="FSC#COOELAK@1.1001:DispatchedAt">
    <vt:lpwstr/>
  </property>
  <property fmtid="{D5CDD505-2E9C-101B-9397-08002B2CF9AE}" pid="72" name="FSC#COOELAK@1.1001:ApprovedBy">
    <vt:lpwstr/>
  </property>
  <property fmtid="{D5CDD505-2E9C-101B-9397-08002B2CF9AE}" pid="73" name="FSC#COOELAK@1.1001:ApprovedAt">
    <vt:lpwstr/>
  </property>
  <property fmtid="{D5CDD505-2E9C-101B-9397-08002B2CF9AE}" pid="74" name="FSC#COOELAK@1.1001:Department">
    <vt:lpwstr>Sektion Integrationsförderung (SIF)</vt:lpwstr>
  </property>
  <property fmtid="{D5CDD505-2E9C-101B-9397-08002B2CF9AE}" pid="75" name="FSC#COOELAK@1.1001:CreatedAt">
    <vt:lpwstr>27.03.2019</vt:lpwstr>
  </property>
  <property fmtid="{D5CDD505-2E9C-101B-9397-08002B2CF9AE}" pid="76" name="FSC#COOELAK@1.1001:OU">
    <vt:lpwstr>Abteilung Integration (AI)</vt:lpwstr>
  </property>
  <property fmtid="{D5CDD505-2E9C-101B-9397-08002B2CF9AE}" pid="77" name="FSC#COOELAK@1.1001:Priority">
    <vt:lpwstr> ()</vt:lpwstr>
  </property>
  <property fmtid="{D5CDD505-2E9C-101B-9397-08002B2CF9AE}" pid="78" name="FSC#COOELAK@1.1001:ObjBarCode">
    <vt:lpwstr>*COO.2180.101.5.519576*</vt:lpwstr>
  </property>
  <property fmtid="{D5CDD505-2E9C-101B-9397-08002B2CF9AE}" pid="79" name="FSC#COOELAK@1.1001:RefBarCode">
    <vt:lpwstr>*COO.2180.101.8.2500992*</vt:lpwstr>
  </property>
  <property fmtid="{D5CDD505-2E9C-101B-9397-08002B2CF9AE}" pid="80" name="FSC#COOELAK@1.1001:FileRefBarCode">
    <vt:lpwstr>*545-00/2018/05813*</vt:lpwstr>
  </property>
  <property fmtid="{D5CDD505-2E9C-101B-9397-08002B2CF9AE}" pid="81" name="FSC#COOELAK@1.1001:ExternalRef">
    <vt:lpwstr/>
  </property>
  <property fmtid="{D5CDD505-2E9C-101B-9397-08002B2CF9AE}" pid="82" name="FSC#COOELAK@1.1001:IncomingNumber">
    <vt:lpwstr/>
  </property>
  <property fmtid="{D5CDD505-2E9C-101B-9397-08002B2CF9AE}" pid="83" name="FSC#COOELAK@1.1001:IncomingSubject">
    <vt:lpwstr/>
  </property>
  <property fmtid="{D5CDD505-2E9C-101B-9397-08002B2CF9AE}" pid="84" name="FSC#COOELAK@1.1001:ProcessResponsible">
    <vt:lpwstr/>
  </property>
  <property fmtid="{D5CDD505-2E9C-101B-9397-08002B2CF9AE}" pid="85" name="FSC#COOELAK@1.1001:ProcessResponsiblePhone">
    <vt:lpwstr/>
  </property>
  <property fmtid="{D5CDD505-2E9C-101B-9397-08002B2CF9AE}" pid="86" name="FSC#COOELAK@1.1001:ProcessResponsibleMail">
    <vt:lpwstr/>
  </property>
  <property fmtid="{D5CDD505-2E9C-101B-9397-08002B2CF9AE}" pid="87" name="FSC#COOELAK@1.1001:ProcessResponsibleFax">
    <vt:lpwstr/>
  </property>
  <property fmtid="{D5CDD505-2E9C-101B-9397-08002B2CF9AE}" pid="88" name="FSC#COOELAK@1.1001:ApproverFirstName">
    <vt:lpwstr/>
  </property>
  <property fmtid="{D5CDD505-2E9C-101B-9397-08002B2CF9AE}" pid="89" name="FSC#COOELAK@1.1001:ApproverSurName">
    <vt:lpwstr/>
  </property>
  <property fmtid="{D5CDD505-2E9C-101B-9397-08002B2CF9AE}" pid="90" name="FSC#COOELAK@1.1001:ApproverTitle">
    <vt:lpwstr/>
  </property>
  <property fmtid="{D5CDD505-2E9C-101B-9397-08002B2CF9AE}" pid="91" name="FSC#COOELAK@1.1001:ExternalDate">
    <vt:lpwstr/>
  </property>
  <property fmtid="{D5CDD505-2E9C-101B-9397-08002B2CF9AE}" pid="92" name="FSC#COOELAK@1.1001:SettlementApprovedAt">
    <vt:lpwstr/>
  </property>
  <property fmtid="{D5CDD505-2E9C-101B-9397-08002B2CF9AE}" pid="93" name="FSC#COOELAK@1.1001:BaseNumber">
    <vt:lpwstr>545-00</vt:lpwstr>
  </property>
  <property fmtid="{D5CDD505-2E9C-101B-9397-08002B2CF9AE}" pid="94" name="FSC#COOELAK@1.1001:CurrentUserRolePos">
    <vt:lpwstr>Sachbearbeiter/in</vt:lpwstr>
  </property>
  <property fmtid="{D5CDD505-2E9C-101B-9397-08002B2CF9AE}" pid="95" name="FSC#COOELAK@1.1001:CurrentUserEmail">
    <vt:lpwstr>tsewang.tsering@sem.admin.ch</vt:lpwstr>
  </property>
  <property fmtid="{D5CDD505-2E9C-101B-9397-08002B2CF9AE}" pid="96" name="FSC#ELAKGOV@1.1001:PersonalSubjGender">
    <vt:lpwstr/>
  </property>
  <property fmtid="{D5CDD505-2E9C-101B-9397-08002B2CF9AE}" pid="97" name="FSC#ELAKGOV@1.1001:PersonalSubjFirstName">
    <vt:lpwstr/>
  </property>
  <property fmtid="{D5CDD505-2E9C-101B-9397-08002B2CF9AE}" pid="98" name="FSC#ELAKGOV@1.1001:PersonalSubjSurName">
    <vt:lpwstr/>
  </property>
  <property fmtid="{D5CDD505-2E9C-101B-9397-08002B2CF9AE}" pid="99" name="FSC#ELAKGOV@1.1001:PersonalSubjSalutation">
    <vt:lpwstr/>
  </property>
  <property fmtid="{D5CDD505-2E9C-101B-9397-08002B2CF9AE}" pid="100" name="FSC#ELAKGOV@1.1001:PersonalSubjAddress">
    <vt:lpwstr/>
  </property>
  <property fmtid="{D5CDD505-2E9C-101B-9397-08002B2CF9AE}" pid="101" name="FSC#ATSTATECFG@1.1001:Office">
    <vt:lpwstr/>
  </property>
  <property fmtid="{D5CDD505-2E9C-101B-9397-08002B2CF9AE}" pid="102" name="FSC#ATSTATECFG@1.1001:Agent">
    <vt:lpwstr>Sebastian Steiger</vt:lpwstr>
  </property>
  <property fmtid="{D5CDD505-2E9C-101B-9397-08002B2CF9AE}" pid="103" name="FSC#ATSTATECFG@1.1001:AgentPhone">
    <vt:lpwstr>+41 58 467 64 72</vt:lpwstr>
  </property>
  <property fmtid="{D5CDD505-2E9C-101B-9397-08002B2CF9AE}" pid="104" name="FSC#ATSTATECFG@1.1001:DepartmentFax">
    <vt:lpwstr/>
  </property>
  <property fmtid="{D5CDD505-2E9C-101B-9397-08002B2CF9AE}" pid="105" name="FSC#ATSTATECFG@1.1001:DepartmentEmail">
    <vt:lpwstr/>
  </property>
  <property fmtid="{D5CDD505-2E9C-101B-9397-08002B2CF9AE}" pid="106" name="FSC#ATSTATECFG@1.1001:SubfileDate">
    <vt:lpwstr/>
  </property>
  <property fmtid="{D5CDD505-2E9C-101B-9397-08002B2CF9AE}" pid="107" name="FSC#ATSTATECFG@1.1001:SubfileSubject">
    <vt:lpwstr/>
  </property>
  <property fmtid="{D5CDD505-2E9C-101B-9397-08002B2CF9AE}" pid="108" name="FSC#ATSTATECFG@1.1001:DepartmentZipCode">
    <vt:lpwstr/>
  </property>
  <property fmtid="{D5CDD505-2E9C-101B-9397-08002B2CF9AE}" pid="109" name="FSC#ATSTATECFG@1.1001:DepartmentCountry">
    <vt:lpwstr/>
  </property>
  <property fmtid="{D5CDD505-2E9C-101B-9397-08002B2CF9AE}" pid="110" name="FSC#ATSTATECFG@1.1001:DepartmentCity">
    <vt:lpwstr/>
  </property>
  <property fmtid="{D5CDD505-2E9C-101B-9397-08002B2CF9AE}" pid="111" name="FSC#ATSTATECFG@1.1001:DepartmentStreet">
    <vt:lpwstr/>
  </property>
  <property fmtid="{D5CDD505-2E9C-101B-9397-08002B2CF9AE}" pid="112" name="FSC#ATSTATECFG@1.1001:DepartmentDVR">
    <vt:lpwstr/>
  </property>
  <property fmtid="{D5CDD505-2E9C-101B-9397-08002B2CF9AE}" pid="113" name="FSC#ATSTATECFG@1.1001:DepartmentUID">
    <vt:lpwstr/>
  </property>
  <property fmtid="{D5CDD505-2E9C-101B-9397-08002B2CF9AE}" pid="114" name="FSC#ATSTATECFG@1.1001:SubfileReference">
    <vt:lpwstr>545-00/2018/00001</vt:lpwstr>
  </property>
  <property fmtid="{D5CDD505-2E9C-101B-9397-08002B2CF9AE}" pid="115" name="FSC#ATSTATECFG@1.1001:Clause">
    <vt:lpwstr/>
  </property>
  <property fmtid="{D5CDD505-2E9C-101B-9397-08002B2CF9AE}" pid="116" name="FSC#ATSTATECFG@1.1001:ApprovedSignature">
    <vt:lpwstr/>
  </property>
  <property fmtid="{D5CDD505-2E9C-101B-9397-08002B2CF9AE}" pid="117" name="FSC#ATSTATECFG@1.1001:BankAccount">
    <vt:lpwstr/>
  </property>
  <property fmtid="{D5CDD505-2E9C-101B-9397-08002B2CF9AE}" pid="118" name="FSC#ATSTATECFG@1.1001:BankAccountOwner">
    <vt:lpwstr/>
  </property>
  <property fmtid="{D5CDD505-2E9C-101B-9397-08002B2CF9AE}" pid="119" name="FSC#ATSTATECFG@1.1001:BankInstitute">
    <vt:lpwstr/>
  </property>
  <property fmtid="{D5CDD505-2E9C-101B-9397-08002B2CF9AE}" pid="120" name="FSC#ATSTATECFG@1.1001:BankAccountID">
    <vt:lpwstr/>
  </property>
  <property fmtid="{D5CDD505-2E9C-101B-9397-08002B2CF9AE}" pid="121" name="FSC#ATSTATECFG@1.1001:BankAccountIBAN">
    <vt:lpwstr/>
  </property>
  <property fmtid="{D5CDD505-2E9C-101B-9397-08002B2CF9AE}" pid="122" name="FSC#ATSTATECFG@1.1001:BankAccountBIC">
    <vt:lpwstr/>
  </property>
  <property fmtid="{D5CDD505-2E9C-101B-9397-08002B2CF9AE}" pid="123" name="FSC#ATSTATECFG@1.1001:BankName">
    <vt:lpwstr/>
  </property>
  <property fmtid="{D5CDD505-2E9C-101B-9397-08002B2CF9AE}" pid="124" name="FSC#COOSYSTEM@1.1:Container">
    <vt:lpwstr>COO.2180.101.5.519576</vt:lpwstr>
  </property>
  <property fmtid="{D5CDD505-2E9C-101B-9397-08002B2CF9AE}" pid="125" name="FSC#FSCFOLIO@1.1001:docpropproject">
    <vt:lpwstr/>
  </property>
</Properties>
</file>